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D794DE73-4FD3-4ED3-8E33-9AD1C1331260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Petunjuk" sheetId="1" r:id="rId1"/>
    <sheet name="Master_Karyawan" sheetId="2" r:id="rId2"/>
    <sheet name="Asumsi_Pajak" sheetId="3" r:id="rId3"/>
    <sheet name="Payroll_Detail" sheetId="4" r:id="rId4"/>
    <sheet name="Slip_Gaji" sheetId="5" r:id="rId5"/>
  </sheets>
  <definedNames>
    <definedName name="_xlnm._FilterDatabase" localSheetId="1" hidden="1">Master_Karyawan!$A$3:$Y$9</definedName>
    <definedName name="_xlnm._FilterDatabase" localSheetId="3" hidden="1">Payroll_Detail!$A$3:$AQ$75</definedName>
    <definedName name="_xlnm.Print_Area" localSheetId="4">Slip_Gaji!$A$1:$H$34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9" i="5" l="1"/>
  <c r="F28" i="5"/>
  <c r="B28" i="5"/>
  <c r="B27" i="5"/>
  <c r="B17" i="5"/>
  <c r="B16" i="5"/>
  <c r="F14" i="5"/>
  <c r="B14" i="5"/>
  <c r="F13" i="5"/>
  <c r="B13" i="5"/>
  <c r="B12" i="5"/>
  <c r="B11" i="5"/>
  <c r="B10" i="5"/>
  <c r="F9" i="5"/>
  <c r="B9" i="5"/>
  <c r="J75" i="4"/>
  <c r="I75" i="4"/>
  <c r="AD75" i="4" s="1"/>
  <c r="H75" i="4"/>
  <c r="K75" i="4" s="1"/>
  <c r="G75" i="4"/>
  <c r="F75" i="4"/>
  <c r="E75" i="4"/>
  <c r="K74" i="4"/>
  <c r="J74" i="4"/>
  <c r="I74" i="4"/>
  <c r="AD74" i="4" s="1"/>
  <c r="H74" i="4"/>
  <c r="G74" i="4"/>
  <c r="F74" i="4"/>
  <c r="E74" i="4"/>
  <c r="AD73" i="4"/>
  <c r="K73" i="4"/>
  <c r="N73" i="4" s="1"/>
  <c r="J73" i="4"/>
  <c r="I73" i="4"/>
  <c r="H73" i="4"/>
  <c r="G73" i="4"/>
  <c r="F73" i="4"/>
  <c r="E73" i="4"/>
  <c r="N72" i="4"/>
  <c r="M72" i="4"/>
  <c r="K72" i="4"/>
  <c r="J72" i="4"/>
  <c r="I72" i="4"/>
  <c r="AD72" i="4" s="1"/>
  <c r="H72" i="4"/>
  <c r="G72" i="4"/>
  <c r="F72" i="4"/>
  <c r="E72" i="4"/>
  <c r="AD71" i="4"/>
  <c r="J71" i="4"/>
  <c r="I71" i="4"/>
  <c r="H71" i="4"/>
  <c r="K71" i="4" s="1"/>
  <c r="G71" i="4"/>
  <c r="F71" i="4"/>
  <c r="E71" i="4"/>
  <c r="K70" i="4"/>
  <c r="J70" i="4"/>
  <c r="I70" i="4"/>
  <c r="AD70" i="4" s="1"/>
  <c r="H70" i="4"/>
  <c r="G70" i="4"/>
  <c r="F70" i="4"/>
  <c r="E70" i="4"/>
  <c r="K69" i="4"/>
  <c r="J69" i="4"/>
  <c r="I69" i="4"/>
  <c r="AD69" i="4" s="1"/>
  <c r="H69" i="4"/>
  <c r="G69" i="4"/>
  <c r="F69" i="4"/>
  <c r="E69" i="4"/>
  <c r="K68" i="4"/>
  <c r="J68" i="4"/>
  <c r="I68" i="4"/>
  <c r="AD68" i="4" s="1"/>
  <c r="H68" i="4"/>
  <c r="G68" i="4"/>
  <c r="F68" i="4"/>
  <c r="E68" i="4"/>
  <c r="J67" i="4"/>
  <c r="I67" i="4"/>
  <c r="AD67" i="4" s="1"/>
  <c r="H67" i="4"/>
  <c r="K67" i="4" s="1"/>
  <c r="G67" i="4"/>
  <c r="F67" i="4"/>
  <c r="E67" i="4"/>
  <c r="K66" i="4"/>
  <c r="J66" i="4"/>
  <c r="I66" i="4"/>
  <c r="AD66" i="4" s="1"/>
  <c r="H66" i="4"/>
  <c r="G66" i="4"/>
  <c r="F66" i="4"/>
  <c r="E66" i="4"/>
  <c r="K65" i="4"/>
  <c r="N65" i="4" s="1"/>
  <c r="J65" i="4"/>
  <c r="I65" i="4"/>
  <c r="AD65" i="4" s="1"/>
  <c r="H65" i="4"/>
  <c r="G65" i="4"/>
  <c r="F65" i="4"/>
  <c r="E65" i="4"/>
  <c r="K64" i="4"/>
  <c r="L64" i="4" s="1"/>
  <c r="J64" i="4"/>
  <c r="I64" i="4"/>
  <c r="AD64" i="4" s="1"/>
  <c r="H64" i="4"/>
  <c r="G64" i="4"/>
  <c r="F64" i="4"/>
  <c r="E64" i="4"/>
  <c r="J63" i="4"/>
  <c r="I63" i="4"/>
  <c r="AD63" i="4" s="1"/>
  <c r="H63" i="4"/>
  <c r="K63" i="4" s="1"/>
  <c r="G63" i="4"/>
  <c r="F63" i="4"/>
  <c r="E63" i="4"/>
  <c r="M62" i="4"/>
  <c r="K62" i="4"/>
  <c r="J62" i="4"/>
  <c r="I62" i="4"/>
  <c r="AD62" i="4" s="1"/>
  <c r="H62" i="4"/>
  <c r="G62" i="4"/>
  <c r="F62" i="4"/>
  <c r="E62" i="4"/>
  <c r="AD61" i="4"/>
  <c r="M61" i="4"/>
  <c r="L61" i="4"/>
  <c r="X61" i="4" s="1"/>
  <c r="K61" i="4"/>
  <c r="N61" i="4" s="1"/>
  <c r="J61" i="4"/>
  <c r="I61" i="4"/>
  <c r="H61" i="4"/>
  <c r="G61" i="4"/>
  <c r="F61" i="4"/>
  <c r="E61" i="4"/>
  <c r="AD60" i="4"/>
  <c r="N60" i="4"/>
  <c r="M60" i="4"/>
  <c r="K60" i="4"/>
  <c r="L60" i="4" s="1"/>
  <c r="J60" i="4"/>
  <c r="I60" i="4"/>
  <c r="H60" i="4"/>
  <c r="G60" i="4"/>
  <c r="F60" i="4"/>
  <c r="E60" i="4"/>
  <c r="AD59" i="4"/>
  <c r="K59" i="4"/>
  <c r="J59" i="4"/>
  <c r="I59" i="4"/>
  <c r="H59" i="4"/>
  <c r="G59" i="4"/>
  <c r="F59" i="4"/>
  <c r="E59" i="4"/>
  <c r="AD58" i="4"/>
  <c r="M58" i="4"/>
  <c r="K58" i="4"/>
  <c r="J58" i="4"/>
  <c r="I58" i="4"/>
  <c r="H58" i="4"/>
  <c r="G58" i="4"/>
  <c r="F58" i="4"/>
  <c r="E58" i="4"/>
  <c r="AD57" i="4"/>
  <c r="L57" i="4"/>
  <c r="K57" i="4"/>
  <c r="J57" i="4"/>
  <c r="I57" i="4"/>
  <c r="H57" i="4"/>
  <c r="G57" i="4"/>
  <c r="F57" i="4"/>
  <c r="E57" i="4"/>
  <c r="AD56" i="4"/>
  <c r="K56" i="4"/>
  <c r="J56" i="4"/>
  <c r="I56" i="4"/>
  <c r="H56" i="4"/>
  <c r="G56" i="4"/>
  <c r="F56" i="4"/>
  <c r="E56" i="4"/>
  <c r="AD55" i="4"/>
  <c r="K55" i="4"/>
  <c r="J55" i="4"/>
  <c r="I55" i="4"/>
  <c r="H55" i="4"/>
  <c r="G55" i="4"/>
  <c r="F55" i="4"/>
  <c r="E55" i="4"/>
  <c r="AD54" i="4"/>
  <c r="K54" i="4"/>
  <c r="J54" i="4"/>
  <c r="I54" i="4"/>
  <c r="H54" i="4"/>
  <c r="G54" i="4"/>
  <c r="F54" i="4"/>
  <c r="E54" i="4"/>
  <c r="AD53" i="4"/>
  <c r="K53" i="4"/>
  <c r="J53" i="4"/>
  <c r="I53" i="4"/>
  <c r="H53" i="4"/>
  <c r="G53" i="4"/>
  <c r="F53" i="4"/>
  <c r="E53" i="4"/>
  <c r="N52" i="4"/>
  <c r="M52" i="4"/>
  <c r="J52" i="4"/>
  <c r="I52" i="4"/>
  <c r="AD52" i="4" s="1"/>
  <c r="H52" i="4"/>
  <c r="K52" i="4" s="1"/>
  <c r="G52" i="4"/>
  <c r="F52" i="4"/>
  <c r="E52" i="4"/>
  <c r="J51" i="4"/>
  <c r="I51" i="4"/>
  <c r="AD51" i="4" s="1"/>
  <c r="H51" i="4"/>
  <c r="K51" i="4" s="1"/>
  <c r="G51" i="4"/>
  <c r="F51" i="4"/>
  <c r="E51" i="4"/>
  <c r="K50" i="4"/>
  <c r="J50" i="4"/>
  <c r="I50" i="4"/>
  <c r="AD50" i="4" s="1"/>
  <c r="H50" i="4"/>
  <c r="G50" i="4"/>
  <c r="F50" i="4"/>
  <c r="E50" i="4"/>
  <c r="K49" i="4"/>
  <c r="J49" i="4"/>
  <c r="I49" i="4"/>
  <c r="AD49" i="4" s="1"/>
  <c r="H49" i="4"/>
  <c r="G49" i="4"/>
  <c r="F49" i="4"/>
  <c r="E49" i="4"/>
  <c r="N48" i="4"/>
  <c r="M48" i="4"/>
  <c r="J48" i="4"/>
  <c r="I48" i="4"/>
  <c r="AD48" i="4" s="1"/>
  <c r="H48" i="4"/>
  <c r="K48" i="4" s="1"/>
  <c r="G48" i="4"/>
  <c r="F48" i="4"/>
  <c r="E48" i="4"/>
  <c r="J47" i="4"/>
  <c r="I47" i="4"/>
  <c r="AD47" i="4" s="1"/>
  <c r="H47" i="4"/>
  <c r="K47" i="4" s="1"/>
  <c r="G47" i="4"/>
  <c r="F47" i="4"/>
  <c r="E47" i="4"/>
  <c r="K46" i="4"/>
  <c r="N46" i="4" s="1"/>
  <c r="J46" i="4"/>
  <c r="I46" i="4"/>
  <c r="AD46" i="4" s="1"/>
  <c r="H46" i="4"/>
  <c r="G46" i="4"/>
  <c r="F46" i="4"/>
  <c r="E46" i="4"/>
  <c r="K45" i="4"/>
  <c r="J45" i="4"/>
  <c r="I45" i="4"/>
  <c r="AD45" i="4" s="1"/>
  <c r="H45" i="4"/>
  <c r="G45" i="4"/>
  <c r="F45" i="4"/>
  <c r="E45" i="4"/>
  <c r="J44" i="4"/>
  <c r="I44" i="4"/>
  <c r="AD44" i="4" s="1"/>
  <c r="H44" i="4"/>
  <c r="K44" i="4" s="1"/>
  <c r="G44" i="4"/>
  <c r="F44" i="4"/>
  <c r="E44" i="4"/>
  <c r="K43" i="4"/>
  <c r="J43" i="4"/>
  <c r="I43" i="4"/>
  <c r="AD43" i="4" s="1"/>
  <c r="H43" i="4"/>
  <c r="G43" i="4"/>
  <c r="F43" i="4"/>
  <c r="E43" i="4"/>
  <c r="AD42" i="4"/>
  <c r="J42" i="4"/>
  <c r="I42" i="4"/>
  <c r="H42" i="4"/>
  <c r="K42" i="4" s="1"/>
  <c r="G42" i="4"/>
  <c r="F42" i="4"/>
  <c r="E42" i="4"/>
  <c r="M41" i="4"/>
  <c r="K41" i="4"/>
  <c r="J41" i="4"/>
  <c r="I41" i="4"/>
  <c r="AD41" i="4" s="1"/>
  <c r="H41" i="4"/>
  <c r="G41" i="4"/>
  <c r="F41" i="4"/>
  <c r="E41" i="4"/>
  <c r="N40" i="4"/>
  <c r="M40" i="4"/>
  <c r="L40" i="4"/>
  <c r="T40" i="4" s="1"/>
  <c r="J40" i="4"/>
  <c r="I40" i="4"/>
  <c r="AD40" i="4" s="1"/>
  <c r="H40" i="4"/>
  <c r="K40" i="4" s="1"/>
  <c r="G40" i="4"/>
  <c r="F40" i="4"/>
  <c r="E40" i="4"/>
  <c r="J39" i="4"/>
  <c r="I39" i="4"/>
  <c r="AD39" i="4" s="1"/>
  <c r="H39" i="4"/>
  <c r="K39" i="4" s="1"/>
  <c r="G39" i="4"/>
  <c r="F39" i="4"/>
  <c r="E39" i="4"/>
  <c r="J38" i="4"/>
  <c r="I38" i="4"/>
  <c r="AD38" i="4" s="1"/>
  <c r="H38" i="4"/>
  <c r="K38" i="4" s="1"/>
  <c r="G38" i="4"/>
  <c r="F38" i="4"/>
  <c r="E38" i="4"/>
  <c r="M37" i="4"/>
  <c r="K37" i="4"/>
  <c r="J37" i="4"/>
  <c r="I37" i="4"/>
  <c r="AD37" i="4" s="1"/>
  <c r="H37" i="4"/>
  <c r="G37" i="4"/>
  <c r="F37" i="4"/>
  <c r="E37" i="4"/>
  <c r="N36" i="4"/>
  <c r="M36" i="4"/>
  <c r="L36" i="4"/>
  <c r="T36" i="4" s="1"/>
  <c r="J36" i="4"/>
  <c r="AE36" i="4" s="1"/>
  <c r="I36" i="4"/>
  <c r="AD36" i="4" s="1"/>
  <c r="H36" i="4"/>
  <c r="K36" i="4" s="1"/>
  <c r="G36" i="4"/>
  <c r="F36" i="4"/>
  <c r="E36" i="4"/>
  <c r="J35" i="4"/>
  <c r="I35" i="4"/>
  <c r="AD35" i="4" s="1"/>
  <c r="H35" i="4"/>
  <c r="K35" i="4" s="1"/>
  <c r="G35" i="4"/>
  <c r="F35" i="4"/>
  <c r="E35" i="4"/>
  <c r="J34" i="4"/>
  <c r="I34" i="4"/>
  <c r="AD34" i="4" s="1"/>
  <c r="H34" i="4"/>
  <c r="K34" i="4" s="1"/>
  <c r="G34" i="4"/>
  <c r="F34" i="4"/>
  <c r="E34" i="4"/>
  <c r="M33" i="4"/>
  <c r="K33" i="4"/>
  <c r="J33" i="4"/>
  <c r="I33" i="4"/>
  <c r="AD33" i="4" s="1"/>
  <c r="H33" i="4"/>
  <c r="G33" i="4"/>
  <c r="F33" i="4"/>
  <c r="E33" i="4"/>
  <c r="N32" i="4"/>
  <c r="M32" i="4"/>
  <c r="L32" i="4"/>
  <c r="K32" i="4"/>
  <c r="X32" i="4" s="1"/>
  <c r="J32" i="4"/>
  <c r="I32" i="4"/>
  <c r="AD32" i="4" s="1"/>
  <c r="H32" i="4"/>
  <c r="G32" i="4"/>
  <c r="F32" i="4"/>
  <c r="E32" i="4"/>
  <c r="AD31" i="4"/>
  <c r="K31" i="4"/>
  <c r="J31" i="4"/>
  <c r="I31" i="4"/>
  <c r="H31" i="4"/>
  <c r="G31" i="4"/>
  <c r="F31" i="4"/>
  <c r="E31" i="4"/>
  <c r="K30" i="4"/>
  <c r="J30" i="4"/>
  <c r="I30" i="4"/>
  <c r="AD30" i="4" s="1"/>
  <c r="H30" i="4"/>
  <c r="G30" i="4"/>
  <c r="F30" i="4"/>
  <c r="E30" i="4"/>
  <c r="N29" i="4"/>
  <c r="M29" i="4"/>
  <c r="J29" i="4"/>
  <c r="I29" i="4"/>
  <c r="AD29" i="4" s="1"/>
  <c r="H29" i="4"/>
  <c r="K29" i="4" s="1"/>
  <c r="G29" i="4"/>
  <c r="F29" i="4"/>
  <c r="E29" i="4"/>
  <c r="J28" i="4"/>
  <c r="I28" i="4"/>
  <c r="AD28" i="4" s="1"/>
  <c r="H28" i="4"/>
  <c r="K28" i="4" s="1"/>
  <c r="G28" i="4"/>
  <c r="F28" i="4"/>
  <c r="E28" i="4"/>
  <c r="K27" i="4"/>
  <c r="J27" i="4"/>
  <c r="I27" i="4"/>
  <c r="AD27" i="4" s="1"/>
  <c r="H27" i="4"/>
  <c r="G27" i="4"/>
  <c r="F27" i="4"/>
  <c r="E27" i="4"/>
  <c r="K26" i="4"/>
  <c r="J26" i="4"/>
  <c r="I26" i="4"/>
  <c r="AD26" i="4" s="1"/>
  <c r="H26" i="4"/>
  <c r="G26" i="4"/>
  <c r="F26" i="4"/>
  <c r="E26" i="4"/>
  <c r="N25" i="4"/>
  <c r="M25" i="4"/>
  <c r="J25" i="4"/>
  <c r="I25" i="4"/>
  <c r="AD25" i="4" s="1"/>
  <c r="H25" i="4"/>
  <c r="K25" i="4" s="1"/>
  <c r="G25" i="4"/>
  <c r="F25" i="4"/>
  <c r="E25" i="4"/>
  <c r="AD24" i="4"/>
  <c r="J24" i="4"/>
  <c r="I24" i="4"/>
  <c r="H24" i="4"/>
  <c r="K24" i="4" s="1"/>
  <c r="G24" i="4"/>
  <c r="F24" i="4"/>
  <c r="E24" i="4"/>
  <c r="AD23" i="4"/>
  <c r="K23" i="4"/>
  <c r="J23" i="4"/>
  <c r="I23" i="4"/>
  <c r="H23" i="4"/>
  <c r="G23" i="4"/>
  <c r="F23" i="4"/>
  <c r="E23" i="4"/>
  <c r="M22" i="4"/>
  <c r="L22" i="4"/>
  <c r="K22" i="4"/>
  <c r="J22" i="4"/>
  <c r="I22" i="4"/>
  <c r="AD22" i="4" s="1"/>
  <c r="H22" i="4"/>
  <c r="G22" i="4"/>
  <c r="F22" i="4"/>
  <c r="E22" i="4"/>
  <c r="J21" i="4"/>
  <c r="I21" i="4"/>
  <c r="AD21" i="4" s="1"/>
  <c r="H21" i="4"/>
  <c r="K21" i="4" s="1"/>
  <c r="N21" i="4" s="1"/>
  <c r="G21" i="4"/>
  <c r="F21" i="4"/>
  <c r="E21" i="4"/>
  <c r="AD20" i="4"/>
  <c r="J20" i="4"/>
  <c r="I20" i="4"/>
  <c r="H20" i="4"/>
  <c r="K20" i="4" s="1"/>
  <c r="G20" i="4"/>
  <c r="F20" i="4"/>
  <c r="E20" i="4"/>
  <c r="M19" i="4"/>
  <c r="K19" i="4"/>
  <c r="J19" i="4"/>
  <c r="I19" i="4"/>
  <c r="AD19" i="4" s="1"/>
  <c r="H19" i="4"/>
  <c r="G19" i="4"/>
  <c r="F19" i="4"/>
  <c r="E19" i="4"/>
  <c r="M18" i="4"/>
  <c r="L18" i="4"/>
  <c r="K18" i="4"/>
  <c r="J18" i="4"/>
  <c r="I18" i="4"/>
  <c r="AD18" i="4" s="1"/>
  <c r="H18" i="4"/>
  <c r="G18" i="4"/>
  <c r="F18" i="4"/>
  <c r="E18" i="4"/>
  <c r="K17" i="4"/>
  <c r="J17" i="4"/>
  <c r="I17" i="4"/>
  <c r="AD17" i="4" s="1"/>
  <c r="H17" i="4"/>
  <c r="G17" i="4"/>
  <c r="F17" i="4"/>
  <c r="E17" i="4"/>
  <c r="K16" i="4"/>
  <c r="J16" i="4"/>
  <c r="I16" i="4"/>
  <c r="AD16" i="4" s="1"/>
  <c r="H16" i="4"/>
  <c r="G16" i="4"/>
  <c r="F16" i="4"/>
  <c r="E16" i="4"/>
  <c r="J15" i="4"/>
  <c r="I15" i="4"/>
  <c r="AD15" i="4" s="1"/>
  <c r="H15" i="4"/>
  <c r="K15" i="4" s="1"/>
  <c r="G15" i="4"/>
  <c r="F15" i="4"/>
  <c r="E15" i="4"/>
  <c r="J14" i="4"/>
  <c r="I14" i="4"/>
  <c r="AD14" i="4" s="1"/>
  <c r="H14" i="4"/>
  <c r="K14" i="4" s="1"/>
  <c r="G14" i="4"/>
  <c r="F14" i="4"/>
  <c r="E14" i="4"/>
  <c r="K13" i="4"/>
  <c r="J13" i="4"/>
  <c r="I13" i="4"/>
  <c r="AD13" i="4" s="1"/>
  <c r="H13" i="4"/>
  <c r="G13" i="4"/>
  <c r="F13" i="4"/>
  <c r="E13" i="4"/>
  <c r="K12" i="4"/>
  <c r="J12" i="4"/>
  <c r="I12" i="4"/>
  <c r="AD12" i="4" s="1"/>
  <c r="H12" i="4"/>
  <c r="G12" i="4"/>
  <c r="F12" i="4"/>
  <c r="E12" i="4"/>
  <c r="N11" i="4"/>
  <c r="M11" i="4"/>
  <c r="J11" i="4"/>
  <c r="I11" i="4"/>
  <c r="AD11" i="4" s="1"/>
  <c r="H11" i="4"/>
  <c r="K11" i="4" s="1"/>
  <c r="G11" i="4"/>
  <c r="F11" i="4"/>
  <c r="E11" i="4"/>
  <c r="J10" i="4"/>
  <c r="I10" i="4"/>
  <c r="AD10" i="4" s="1"/>
  <c r="H10" i="4"/>
  <c r="K10" i="4" s="1"/>
  <c r="G10" i="4"/>
  <c r="F10" i="4"/>
  <c r="E10" i="4"/>
  <c r="AD9" i="4"/>
  <c r="K9" i="4"/>
  <c r="J9" i="4"/>
  <c r="I9" i="4"/>
  <c r="H9" i="4"/>
  <c r="G9" i="4"/>
  <c r="F9" i="4"/>
  <c r="E9" i="4"/>
  <c r="K8" i="4"/>
  <c r="J8" i="4"/>
  <c r="I8" i="4"/>
  <c r="AD8" i="4" s="1"/>
  <c r="H8" i="4"/>
  <c r="G8" i="4"/>
  <c r="F8" i="4"/>
  <c r="E8" i="4"/>
  <c r="J7" i="4"/>
  <c r="I7" i="4"/>
  <c r="AD7" i="4" s="1"/>
  <c r="H7" i="4"/>
  <c r="K7" i="4" s="1"/>
  <c r="G7" i="4"/>
  <c r="F7" i="4"/>
  <c r="E7" i="4"/>
  <c r="J6" i="4"/>
  <c r="I6" i="4"/>
  <c r="AD6" i="4" s="1"/>
  <c r="H6" i="4"/>
  <c r="K6" i="4" s="1"/>
  <c r="G6" i="4"/>
  <c r="F6" i="4"/>
  <c r="E6" i="4"/>
  <c r="K5" i="4"/>
  <c r="M5" i="4" s="1"/>
  <c r="J5" i="4"/>
  <c r="I5" i="4"/>
  <c r="AD5" i="4" s="1"/>
  <c r="H5" i="4"/>
  <c r="G5" i="4"/>
  <c r="F5" i="4"/>
  <c r="E5" i="4"/>
  <c r="K4" i="4"/>
  <c r="J4" i="4"/>
  <c r="I4" i="4"/>
  <c r="AD4" i="4" s="1"/>
  <c r="H4" i="4"/>
  <c r="G4" i="4"/>
  <c r="F4" i="4"/>
  <c r="E4" i="4"/>
  <c r="X22" i="4" l="1"/>
  <c r="N23" i="4"/>
  <c r="M23" i="4"/>
  <c r="X23" i="4" s="1"/>
  <c r="L23" i="4"/>
  <c r="N10" i="4"/>
  <c r="Z10" i="4" s="1"/>
  <c r="X10" i="4"/>
  <c r="M10" i="4"/>
  <c r="L10" i="4"/>
  <c r="U40" i="4"/>
  <c r="AB40" i="4"/>
  <c r="L15" i="4"/>
  <c r="N15" i="4"/>
  <c r="X15" i="4" s="1"/>
  <c r="N26" i="4"/>
  <c r="L26" i="4"/>
  <c r="M26" i="4"/>
  <c r="X26" i="4" s="1"/>
  <c r="Z26" i="4"/>
  <c r="X27" i="4"/>
  <c r="N16" i="4"/>
  <c r="M16" i="4"/>
  <c r="L16" i="4"/>
  <c r="T16" i="4" s="1"/>
  <c r="Z16" i="4"/>
  <c r="L8" i="4"/>
  <c r="M7" i="4"/>
  <c r="N38" i="4"/>
  <c r="M38" i="4"/>
  <c r="L38" i="4"/>
  <c r="T38" i="4" s="1"/>
  <c r="X38" i="4"/>
  <c r="N4" i="4"/>
  <c r="M4" i="4"/>
  <c r="L4" i="4"/>
  <c r="V4" i="4" s="1"/>
  <c r="L11" i="4"/>
  <c r="V11" i="4"/>
  <c r="L7" i="4"/>
  <c r="X7" i="4"/>
  <c r="V7" i="4"/>
  <c r="N8" i="4"/>
  <c r="M8" i="4"/>
  <c r="N7" i="4"/>
  <c r="X18" i="4"/>
  <c r="T18" i="4"/>
  <c r="N14" i="4"/>
  <c r="V14" i="4" s="1"/>
  <c r="M14" i="4"/>
  <c r="L14" i="4"/>
  <c r="X14" i="4" s="1"/>
  <c r="N6" i="4"/>
  <c r="V6" i="4"/>
  <c r="M6" i="4"/>
  <c r="L6" i="4"/>
  <c r="X6" i="4" s="1"/>
  <c r="X4" i="4"/>
  <c r="M12" i="4"/>
  <c r="N12" i="4"/>
  <c r="L12" i="4"/>
  <c r="M15" i="4"/>
  <c r="N30" i="4"/>
  <c r="M13" i="4"/>
  <c r="M17" i="4"/>
  <c r="Z17" i="4" s="1"/>
  <c r="N19" i="4"/>
  <c r="V19" i="4" s="1"/>
  <c r="L19" i="4"/>
  <c r="L25" i="4"/>
  <c r="X25" i="4" s="1"/>
  <c r="V25" i="4"/>
  <c r="M30" i="4"/>
  <c r="N31" i="4"/>
  <c r="Z31" i="4"/>
  <c r="M31" i="4"/>
  <c r="L31" i="4"/>
  <c r="Z32" i="4"/>
  <c r="T32" i="4"/>
  <c r="AE30" i="4"/>
  <c r="U36" i="4"/>
  <c r="AJ36" i="4"/>
  <c r="L5" i="4"/>
  <c r="L13" i="4"/>
  <c r="X13" i="4" s="1"/>
  <c r="L30" i="4"/>
  <c r="T30" i="4" s="1"/>
  <c r="N5" i="4"/>
  <c r="N9" i="4"/>
  <c r="N13" i="4"/>
  <c r="N17" i="4"/>
  <c r="M21" i="4"/>
  <c r="AE22" i="4"/>
  <c r="N24" i="4"/>
  <c r="M24" i="4"/>
  <c r="L24" i="4"/>
  <c r="X24" i="4" s="1"/>
  <c r="AB36" i="4"/>
  <c r="N34" i="4"/>
  <c r="V34" i="4" s="1"/>
  <c r="M34" i="4"/>
  <c r="L34" i="4"/>
  <c r="X34" i="4" s="1"/>
  <c r="L17" i="4"/>
  <c r="Z5" i="4"/>
  <c r="M9" i="4"/>
  <c r="V22" i="4"/>
  <c r="N22" i="4"/>
  <c r="Z22" i="4" s="1"/>
  <c r="L29" i="4"/>
  <c r="X29" i="4"/>
  <c r="V29" i="4"/>
  <c r="N42" i="4"/>
  <c r="M42" i="4"/>
  <c r="Z42" i="4" s="1"/>
  <c r="L42" i="4"/>
  <c r="X42" i="4"/>
  <c r="V42" i="4"/>
  <c r="L21" i="4"/>
  <c r="V21" i="4" s="1"/>
  <c r="N27" i="4"/>
  <c r="M27" i="4"/>
  <c r="L27" i="4"/>
  <c r="T27" i="4" s="1"/>
  <c r="AE27" i="4" s="1"/>
  <c r="L9" i="4"/>
  <c r="Z9" i="4" s="1"/>
  <c r="N20" i="4"/>
  <c r="M20" i="4"/>
  <c r="L20" i="4"/>
  <c r="X20" i="4" s="1"/>
  <c r="AN32" i="4"/>
  <c r="AL32" i="4"/>
  <c r="AO32" i="4"/>
  <c r="Y32" i="4"/>
  <c r="N18" i="4"/>
  <c r="V18" i="4" s="1"/>
  <c r="T22" i="4"/>
  <c r="N28" i="4"/>
  <c r="X28" i="4" s="1"/>
  <c r="Z28" i="4"/>
  <c r="M28" i="4"/>
  <c r="L28" i="4"/>
  <c r="V28" i="4" s="1"/>
  <c r="AE40" i="4"/>
  <c r="AJ40" i="4" s="1"/>
  <c r="Z35" i="4"/>
  <c r="M35" i="4"/>
  <c r="L35" i="4"/>
  <c r="X35" i="4"/>
  <c r="M39" i="4"/>
  <c r="L39" i="4"/>
  <c r="Z39" i="4" s="1"/>
  <c r="L44" i="4"/>
  <c r="T44" i="4" s="1"/>
  <c r="AE44" i="4" s="1"/>
  <c r="N44" i="4"/>
  <c r="M44" i="4"/>
  <c r="N50" i="4"/>
  <c r="M50" i="4"/>
  <c r="N45" i="4"/>
  <c r="M45" i="4"/>
  <c r="L45" i="4"/>
  <c r="T45" i="4" s="1"/>
  <c r="AE45" i="4" s="1"/>
  <c r="L50" i="4"/>
  <c r="Z50" i="4" s="1"/>
  <c r="N51" i="4"/>
  <c r="V51" i="4" s="1"/>
  <c r="M51" i="4"/>
  <c r="L51" i="4"/>
  <c r="X51" i="4" s="1"/>
  <c r="L71" i="4"/>
  <c r="N71" i="4"/>
  <c r="X71" i="4" s="1"/>
  <c r="M71" i="4"/>
  <c r="X45" i="4"/>
  <c r="N69" i="4"/>
  <c r="M69" i="4"/>
  <c r="V69" i="4" s="1"/>
  <c r="L69" i="4"/>
  <c r="Z69" i="4"/>
  <c r="X69" i="4"/>
  <c r="V33" i="4"/>
  <c r="N33" i="4"/>
  <c r="N35" i="4"/>
  <c r="X36" i="4"/>
  <c r="V36" i="4"/>
  <c r="Z36" i="4"/>
  <c r="N37" i="4"/>
  <c r="V37" i="4" s="1"/>
  <c r="N39" i="4"/>
  <c r="X39" i="4" s="1"/>
  <c r="X40" i="4"/>
  <c r="V40" i="4"/>
  <c r="Z40" i="4"/>
  <c r="N41" i="4"/>
  <c r="N43" i="4"/>
  <c r="M43" i="4"/>
  <c r="Z43" i="4" s="1"/>
  <c r="N70" i="4"/>
  <c r="M70" i="4"/>
  <c r="L70" i="4"/>
  <c r="X70" i="4"/>
  <c r="AE32" i="4"/>
  <c r="L33" i="4"/>
  <c r="L37" i="4"/>
  <c r="L41" i="4"/>
  <c r="L43" i="4"/>
  <c r="Z45" i="4"/>
  <c r="N47" i="4"/>
  <c r="M47" i="4"/>
  <c r="L47" i="4"/>
  <c r="V47" i="4" s="1"/>
  <c r="L67" i="4"/>
  <c r="N67" i="4"/>
  <c r="M67" i="4"/>
  <c r="L68" i="4"/>
  <c r="N68" i="4"/>
  <c r="M68" i="4"/>
  <c r="X68" i="4" s="1"/>
  <c r="V49" i="4"/>
  <c r="L59" i="4"/>
  <c r="N59" i="4"/>
  <c r="Z59" i="4"/>
  <c r="X59" i="4"/>
  <c r="Z60" i="4"/>
  <c r="X60" i="4"/>
  <c r="AO61" i="4"/>
  <c r="AN61" i="4"/>
  <c r="AL61" i="4"/>
  <c r="Y61" i="4"/>
  <c r="V32" i="4"/>
  <c r="L46" i="4"/>
  <c r="L48" i="4"/>
  <c r="X48" i="4"/>
  <c r="V48" i="4"/>
  <c r="L49" i="4"/>
  <c r="L52" i="4"/>
  <c r="X52" i="4"/>
  <c r="V52" i="4"/>
  <c r="L53" i="4"/>
  <c r="L56" i="4"/>
  <c r="T56" i="4" s="1"/>
  <c r="AE56" i="4" s="1"/>
  <c r="Z56" i="4"/>
  <c r="X56" i="4"/>
  <c r="N57" i="4"/>
  <c r="X57" i="4"/>
  <c r="N58" i="4"/>
  <c r="L58" i="4"/>
  <c r="T58" i="4" s="1"/>
  <c r="Z58" i="4"/>
  <c r="X58" i="4"/>
  <c r="M59" i="4"/>
  <c r="N74" i="4"/>
  <c r="M74" i="4"/>
  <c r="L74" i="4"/>
  <c r="T74" i="4" s="1"/>
  <c r="M46" i="4"/>
  <c r="M49" i="4"/>
  <c r="M53" i="4"/>
  <c r="L55" i="4"/>
  <c r="N55" i="4"/>
  <c r="M56" i="4"/>
  <c r="T57" i="4"/>
  <c r="AE57" i="4" s="1"/>
  <c r="T60" i="4"/>
  <c r="T61" i="4"/>
  <c r="V46" i="4"/>
  <c r="N49" i="4"/>
  <c r="N53" i="4"/>
  <c r="V53" i="4" s="1"/>
  <c r="N54" i="4"/>
  <c r="L54" i="4"/>
  <c r="M54" i="4"/>
  <c r="V54" i="4" s="1"/>
  <c r="M55" i="4"/>
  <c r="X55" i="4" s="1"/>
  <c r="N56" i="4"/>
  <c r="M57" i="4"/>
  <c r="Z57" i="4" s="1"/>
  <c r="V60" i="4"/>
  <c r="V61" i="4"/>
  <c r="L63" i="4"/>
  <c r="N63" i="4"/>
  <c r="M63" i="4"/>
  <c r="Z63" i="4"/>
  <c r="L75" i="4"/>
  <c r="N75" i="4"/>
  <c r="M75" i="4"/>
  <c r="X75" i="4" s="1"/>
  <c r="N66" i="4"/>
  <c r="L66" i="4"/>
  <c r="L73" i="4"/>
  <c r="AE60" i="4"/>
  <c r="AE61" i="4"/>
  <c r="Z61" i="4"/>
  <c r="M64" i="4"/>
  <c r="L65" i="4"/>
  <c r="M66" i="4"/>
  <c r="M73" i="4"/>
  <c r="N62" i="4"/>
  <c r="L62" i="4"/>
  <c r="N64" i="4"/>
  <c r="M65" i="4"/>
  <c r="L72" i="4"/>
  <c r="V72" i="4" s="1"/>
  <c r="V73" i="4"/>
  <c r="AK53" i="4" l="1"/>
  <c r="W53" i="4"/>
  <c r="AO51" i="4"/>
  <c r="Y51" i="4"/>
  <c r="AN51" i="4"/>
  <c r="AL51" i="4"/>
  <c r="AO13" i="4"/>
  <c r="Y13" i="4"/>
  <c r="AN13" i="4"/>
  <c r="AL13" i="4"/>
  <c r="AL26" i="4"/>
  <c r="AN26" i="4"/>
  <c r="AO26" i="4"/>
  <c r="Y26" i="4"/>
  <c r="W72" i="4"/>
  <c r="AK72" i="4"/>
  <c r="AO34" i="4"/>
  <c r="Y34" i="4"/>
  <c r="AN34" i="4"/>
  <c r="AL34" i="4"/>
  <c r="AA10" i="4"/>
  <c r="AM10" i="4"/>
  <c r="AA50" i="4"/>
  <c r="AM50" i="4"/>
  <c r="W28" i="4"/>
  <c r="AK28" i="4"/>
  <c r="AO15" i="4"/>
  <c r="Y15" i="4"/>
  <c r="AN15" i="4"/>
  <c r="AL15" i="4"/>
  <c r="AA9" i="4"/>
  <c r="AM9" i="4"/>
  <c r="AO75" i="4"/>
  <c r="Y75" i="4"/>
  <c r="AN75" i="4"/>
  <c r="AL75" i="4"/>
  <c r="AK51" i="4"/>
  <c r="W51" i="4"/>
  <c r="AM39" i="4"/>
  <c r="AA39" i="4"/>
  <c r="W21" i="4"/>
  <c r="AK21" i="4"/>
  <c r="W34" i="4"/>
  <c r="AK34" i="4"/>
  <c r="AO14" i="4"/>
  <c r="Y14" i="4"/>
  <c r="AL14" i="4"/>
  <c r="AN14" i="4"/>
  <c r="AO23" i="4"/>
  <c r="Y23" i="4"/>
  <c r="AL23" i="4"/>
  <c r="AN23" i="4"/>
  <c r="AO39" i="4"/>
  <c r="Y39" i="4"/>
  <c r="AN39" i="4"/>
  <c r="AL39" i="4"/>
  <c r="AK37" i="4"/>
  <c r="W37" i="4"/>
  <c r="AM42" i="4"/>
  <c r="AA42" i="4"/>
  <c r="AN6" i="4"/>
  <c r="AL6" i="4"/>
  <c r="AO6" i="4"/>
  <c r="Y6" i="4"/>
  <c r="W4" i="4"/>
  <c r="F24" i="5" s="1"/>
  <c r="AK4" i="4"/>
  <c r="F16" i="5" s="1"/>
  <c r="AK54" i="4"/>
  <c r="W54" i="4"/>
  <c r="AM22" i="4"/>
  <c r="AA22" i="4"/>
  <c r="AC36" i="4"/>
  <c r="AO25" i="4"/>
  <c r="Y25" i="4"/>
  <c r="AN25" i="4"/>
  <c r="AL25" i="4"/>
  <c r="AK19" i="4"/>
  <c r="W19" i="4"/>
  <c r="W18" i="4"/>
  <c r="AK18" i="4"/>
  <c r="AM17" i="4"/>
  <c r="AA17" i="4"/>
  <c r="AA43" i="4"/>
  <c r="AM43" i="4"/>
  <c r="AK69" i="4"/>
  <c r="W69" i="4"/>
  <c r="AO55" i="4"/>
  <c r="Y55" i="4"/>
  <c r="AN55" i="4"/>
  <c r="AL55" i="4"/>
  <c r="AK47" i="4"/>
  <c r="W47" i="4"/>
  <c r="AO20" i="4"/>
  <c r="Y20" i="4"/>
  <c r="AN20" i="4"/>
  <c r="AL20" i="4"/>
  <c r="AO68" i="4"/>
  <c r="Y68" i="4"/>
  <c r="AN68" i="4"/>
  <c r="AL68" i="4"/>
  <c r="AO71" i="4"/>
  <c r="Y71" i="4"/>
  <c r="AN71" i="4"/>
  <c r="AL71" i="4"/>
  <c r="AO28" i="4"/>
  <c r="Y28" i="4"/>
  <c r="AN28" i="4"/>
  <c r="AL28" i="4"/>
  <c r="AO24" i="4"/>
  <c r="Y24" i="4"/>
  <c r="AN24" i="4"/>
  <c r="AL24" i="4"/>
  <c r="AK14" i="4"/>
  <c r="W14" i="4"/>
  <c r="AO70" i="4"/>
  <c r="Y70" i="4"/>
  <c r="AN70" i="4"/>
  <c r="AL70" i="4"/>
  <c r="T12" i="4"/>
  <c r="X12" i="4"/>
  <c r="AK11" i="4"/>
  <c r="W11" i="4"/>
  <c r="AN10" i="4"/>
  <c r="AL10" i="4"/>
  <c r="AO10" i="4"/>
  <c r="Y10" i="4"/>
  <c r="AA58" i="4"/>
  <c r="AM58" i="4"/>
  <c r="AM59" i="4"/>
  <c r="AA59" i="4"/>
  <c r="AA61" i="4"/>
  <c r="AM61" i="4"/>
  <c r="W49" i="4"/>
  <c r="AK49" i="4"/>
  <c r="U44" i="4"/>
  <c r="AJ44" i="4"/>
  <c r="AB44" i="4"/>
  <c r="AM31" i="4"/>
  <c r="AA31" i="4"/>
  <c r="W48" i="4"/>
  <c r="AK48" i="4"/>
  <c r="AA5" i="4"/>
  <c r="AM5" i="4"/>
  <c r="AJ38" i="4"/>
  <c r="AB38" i="4"/>
  <c r="U38" i="4"/>
  <c r="Z44" i="4"/>
  <c r="AL69" i="4"/>
  <c r="AN69" i="4"/>
  <c r="Y69" i="4"/>
  <c r="AO69" i="4"/>
  <c r="AK42" i="4"/>
  <c r="W42" i="4"/>
  <c r="AM63" i="4"/>
  <c r="AA63" i="4"/>
  <c r="U74" i="4"/>
  <c r="AB74" i="4"/>
  <c r="AE74" i="4"/>
  <c r="T49" i="4"/>
  <c r="Z49" i="4"/>
  <c r="X49" i="4"/>
  <c r="T8" i="4"/>
  <c r="AM56" i="4"/>
  <c r="AA56" i="4"/>
  <c r="AC56" i="4" s="1"/>
  <c r="AM45" i="4"/>
  <c r="AA45" i="4"/>
  <c r="T70" i="4"/>
  <c r="V70" i="4"/>
  <c r="T50" i="4"/>
  <c r="AO29" i="4"/>
  <c r="Y29" i="4"/>
  <c r="AN29" i="4"/>
  <c r="AL29" i="4"/>
  <c r="T11" i="4"/>
  <c r="Z11" i="4"/>
  <c r="AO27" i="4"/>
  <c r="Y27" i="4"/>
  <c r="AN27" i="4"/>
  <c r="AL27" i="4"/>
  <c r="V75" i="4"/>
  <c r="Z74" i="4"/>
  <c r="AO48" i="4"/>
  <c r="Y48" i="4"/>
  <c r="AN48" i="4"/>
  <c r="AL48" i="4"/>
  <c r="T67" i="4"/>
  <c r="T71" i="4"/>
  <c r="T29" i="4"/>
  <c r="Z29" i="4"/>
  <c r="Z13" i="4"/>
  <c r="AK7" i="4"/>
  <c r="W7" i="4"/>
  <c r="AM26" i="4"/>
  <c r="AA26" i="4"/>
  <c r="Z75" i="4"/>
  <c r="T59" i="4"/>
  <c r="Z70" i="4"/>
  <c r="AA69" i="4"/>
  <c r="AM69" i="4"/>
  <c r="V27" i="4"/>
  <c r="AL42" i="4"/>
  <c r="Y42" i="4"/>
  <c r="AO42" i="4"/>
  <c r="AN42" i="4"/>
  <c r="X30" i="4"/>
  <c r="T5" i="4"/>
  <c r="V5" i="4"/>
  <c r="W25" i="4"/>
  <c r="AK25" i="4"/>
  <c r="AL18" i="4"/>
  <c r="AN18" i="4"/>
  <c r="AO18" i="4"/>
  <c r="Y18" i="4"/>
  <c r="AO7" i="4"/>
  <c r="Y7" i="4"/>
  <c r="AL7" i="4"/>
  <c r="AN7" i="4"/>
  <c r="Z4" i="4"/>
  <c r="Z38" i="4"/>
  <c r="U16" i="4"/>
  <c r="AJ16" i="4"/>
  <c r="AB16" i="4"/>
  <c r="T15" i="4"/>
  <c r="Z15" i="4"/>
  <c r="AE16" i="4"/>
  <c r="AL22" i="4"/>
  <c r="AN22" i="4"/>
  <c r="Y22" i="4"/>
  <c r="AO22" i="4"/>
  <c r="T66" i="4"/>
  <c r="V66" i="4"/>
  <c r="Z66" i="4"/>
  <c r="X66" i="4"/>
  <c r="AK61" i="4"/>
  <c r="W61" i="4"/>
  <c r="AC60" i="4"/>
  <c r="U60" i="4"/>
  <c r="AB60" i="4"/>
  <c r="AJ60" i="4"/>
  <c r="Z68" i="4"/>
  <c r="V57" i="4"/>
  <c r="T53" i="4"/>
  <c r="Z53" i="4"/>
  <c r="T46" i="4"/>
  <c r="Z46" i="4"/>
  <c r="X46" i="4"/>
  <c r="T68" i="4"/>
  <c r="T41" i="4"/>
  <c r="Z41" i="4"/>
  <c r="X41" i="4"/>
  <c r="V41" i="4"/>
  <c r="W36" i="4"/>
  <c r="AQ36" i="4" s="1"/>
  <c r="AK36" i="4"/>
  <c r="AP36" i="4" s="1"/>
  <c r="T69" i="4"/>
  <c r="Z30" i="4"/>
  <c r="U22" i="4"/>
  <c r="AJ22" i="4"/>
  <c r="AB22" i="4"/>
  <c r="AC22" i="4" s="1"/>
  <c r="Z27" i="4"/>
  <c r="T42" i="4"/>
  <c r="U32" i="4"/>
  <c r="AJ32" i="4"/>
  <c r="AB32" i="4"/>
  <c r="Z18" i="4"/>
  <c r="T7" i="4"/>
  <c r="T26" i="4"/>
  <c r="T10" i="4"/>
  <c r="AO56" i="4"/>
  <c r="Y56" i="4"/>
  <c r="AL56" i="4"/>
  <c r="AN56" i="4"/>
  <c r="AL45" i="4"/>
  <c r="Y45" i="4"/>
  <c r="AO45" i="4"/>
  <c r="AN45" i="4"/>
  <c r="AM35" i="4"/>
  <c r="AA35" i="4"/>
  <c r="W29" i="4"/>
  <c r="AK29" i="4"/>
  <c r="Z23" i="4"/>
  <c r="AC58" i="4"/>
  <c r="U58" i="4"/>
  <c r="AJ58" i="4"/>
  <c r="AE58" i="4"/>
  <c r="AB58" i="4"/>
  <c r="T73" i="4"/>
  <c r="Z73" i="4"/>
  <c r="X73" i="4"/>
  <c r="T43" i="4"/>
  <c r="X43" i="4"/>
  <c r="W52" i="4"/>
  <c r="AK52" i="4"/>
  <c r="AO60" i="4"/>
  <c r="Y60" i="4"/>
  <c r="AN60" i="4"/>
  <c r="AL60" i="4"/>
  <c r="T47" i="4"/>
  <c r="X47" i="4"/>
  <c r="AN36" i="4"/>
  <c r="AL36" i="4"/>
  <c r="AO36" i="4"/>
  <c r="Y36" i="4"/>
  <c r="Z71" i="4"/>
  <c r="T51" i="4"/>
  <c r="V45" i="4"/>
  <c r="AO35" i="4"/>
  <c r="Y35" i="4"/>
  <c r="AN35" i="4"/>
  <c r="AL35" i="4"/>
  <c r="T20" i="4"/>
  <c r="V20" i="4"/>
  <c r="W22" i="4"/>
  <c r="AK22" i="4"/>
  <c r="T34" i="4"/>
  <c r="V24" i="4"/>
  <c r="T24" i="4"/>
  <c r="AM32" i="4"/>
  <c r="AA32" i="4"/>
  <c r="AC32" i="4" s="1"/>
  <c r="T25" i="4"/>
  <c r="Z25" i="4"/>
  <c r="V30" i="4"/>
  <c r="Z12" i="4"/>
  <c r="T6" i="4"/>
  <c r="T14" i="4"/>
  <c r="AE38" i="4"/>
  <c r="F11" i="5"/>
  <c r="B25" i="5"/>
  <c r="V16" i="4"/>
  <c r="V23" i="4"/>
  <c r="Z7" i="4"/>
  <c r="F10" i="5"/>
  <c r="B24" i="5"/>
  <c r="T4" i="4"/>
  <c r="T54" i="4"/>
  <c r="X54" i="4"/>
  <c r="Z54" i="4"/>
  <c r="Z48" i="4"/>
  <c r="T48" i="4"/>
  <c r="AM36" i="4"/>
  <c r="AA36" i="4"/>
  <c r="W60" i="4"/>
  <c r="AK60" i="4"/>
  <c r="AC57" i="4"/>
  <c r="U57" i="4"/>
  <c r="AJ57" i="4"/>
  <c r="AB57" i="4"/>
  <c r="V44" i="4"/>
  <c r="W40" i="4"/>
  <c r="AK40" i="4"/>
  <c r="V50" i="4"/>
  <c r="T35" i="4"/>
  <c r="V35" i="4"/>
  <c r="T28" i="4"/>
  <c r="T31" i="4"/>
  <c r="X31" i="4"/>
  <c r="V31" i="4"/>
  <c r="X5" i="4"/>
  <c r="Z8" i="4"/>
  <c r="B26" i="5"/>
  <c r="F12" i="5"/>
  <c r="AO58" i="4"/>
  <c r="Y58" i="4"/>
  <c r="AL58" i="4"/>
  <c r="AN58" i="4"/>
  <c r="AO59" i="4"/>
  <c r="Y59" i="4"/>
  <c r="AN59" i="4"/>
  <c r="AL59" i="4"/>
  <c r="AK33" i="4"/>
  <c r="W33" i="4"/>
  <c r="AA28" i="4"/>
  <c r="AM28" i="4"/>
  <c r="T21" i="4"/>
  <c r="Z21" i="4"/>
  <c r="W6" i="4"/>
  <c r="AK6" i="4"/>
  <c r="AO38" i="4"/>
  <c r="Y38" i="4"/>
  <c r="AN38" i="4"/>
  <c r="AL38" i="4"/>
  <c r="AK46" i="4"/>
  <c r="W46" i="4"/>
  <c r="T9" i="4"/>
  <c r="V9" i="4"/>
  <c r="U30" i="4"/>
  <c r="AJ30" i="4"/>
  <c r="AB30" i="4"/>
  <c r="V15" i="4"/>
  <c r="AK73" i="4"/>
  <c r="W73" i="4"/>
  <c r="T55" i="4"/>
  <c r="Z55" i="4"/>
  <c r="U56" i="4"/>
  <c r="AJ56" i="4"/>
  <c r="AB56" i="4"/>
  <c r="U45" i="4"/>
  <c r="AB45" i="4"/>
  <c r="AC45" i="4" s="1"/>
  <c r="AJ45" i="4"/>
  <c r="T39" i="4"/>
  <c r="V39" i="4"/>
  <c r="U27" i="4"/>
  <c r="AJ27" i="4"/>
  <c r="AB27" i="4"/>
  <c r="T17" i="4"/>
  <c r="X17" i="4"/>
  <c r="V17" i="4"/>
  <c r="T13" i="4"/>
  <c r="V13" i="4"/>
  <c r="AL4" i="4"/>
  <c r="F17" i="5" s="1"/>
  <c r="Y4" i="4"/>
  <c r="F25" i="5" s="1"/>
  <c r="AO4" i="4"/>
  <c r="F20" i="5" s="1"/>
  <c r="AN4" i="4"/>
  <c r="F19" i="5" s="1"/>
  <c r="U18" i="4"/>
  <c r="AB18" i="4"/>
  <c r="AJ18" i="4"/>
  <c r="AM16" i="4"/>
  <c r="AA16" i="4"/>
  <c r="Z72" i="4"/>
  <c r="X72" i="4"/>
  <c r="T72" i="4"/>
  <c r="X63" i="4"/>
  <c r="V63" i="4"/>
  <c r="T63" i="4"/>
  <c r="U61" i="4"/>
  <c r="AB61" i="4"/>
  <c r="AC61" i="4" s="1"/>
  <c r="AJ61" i="4"/>
  <c r="V68" i="4"/>
  <c r="AL57" i="4"/>
  <c r="Y57" i="4"/>
  <c r="AO57" i="4"/>
  <c r="AN57" i="4"/>
  <c r="W32" i="4"/>
  <c r="AK32" i="4"/>
  <c r="V67" i="4"/>
  <c r="T37" i="4"/>
  <c r="Z37" i="4"/>
  <c r="X37" i="4"/>
  <c r="AM40" i="4"/>
  <c r="AA40" i="4"/>
  <c r="Z65" i="4"/>
  <c r="T65" i="4"/>
  <c r="X65" i="4"/>
  <c r="V65" i="4"/>
  <c r="T75" i="4"/>
  <c r="AA57" i="4"/>
  <c r="AM57" i="4"/>
  <c r="AO52" i="4"/>
  <c r="Y52" i="4"/>
  <c r="AN52" i="4"/>
  <c r="AL52" i="4"/>
  <c r="AM60" i="4"/>
  <c r="AA60" i="4"/>
  <c r="X67" i="4"/>
  <c r="T33" i="4"/>
  <c r="Z33" i="4"/>
  <c r="X33" i="4"/>
  <c r="Z62" i="4"/>
  <c r="X62" i="4"/>
  <c r="V62" i="4"/>
  <c r="T62" i="4"/>
  <c r="Z64" i="4"/>
  <c r="X64" i="4"/>
  <c r="V64" i="4"/>
  <c r="T64" i="4"/>
  <c r="V74" i="4"/>
  <c r="V55" i="4"/>
  <c r="X74" i="4"/>
  <c r="V58" i="4"/>
  <c r="V56" i="4"/>
  <c r="Z52" i="4"/>
  <c r="T52" i="4"/>
  <c r="V59" i="4"/>
  <c r="X53" i="4"/>
  <c r="Z67" i="4"/>
  <c r="Z47" i="4"/>
  <c r="V43" i="4"/>
  <c r="AN40" i="4"/>
  <c r="AL40" i="4"/>
  <c r="AP40" i="4" s="1"/>
  <c r="AO40" i="4"/>
  <c r="Y40" i="4"/>
  <c r="AC40" i="4" s="1"/>
  <c r="V71" i="4"/>
  <c r="Z51" i="4"/>
  <c r="X50" i="4"/>
  <c r="X44" i="4"/>
  <c r="Z20" i="4"/>
  <c r="X21" i="4"/>
  <c r="AE18" i="4"/>
  <c r="Z34" i="4"/>
  <c r="Z24" i="4"/>
  <c r="X9" i="4"/>
  <c r="T19" i="4"/>
  <c r="Z19" i="4"/>
  <c r="X19" i="4"/>
  <c r="V12" i="4"/>
  <c r="Z6" i="4"/>
  <c r="Z14" i="4"/>
  <c r="V8" i="4"/>
  <c r="X11" i="4"/>
  <c r="V38" i="4"/>
  <c r="X16" i="4"/>
  <c r="V26" i="4"/>
  <c r="V10" i="4"/>
  <c r="T23" i="4"/>
  <c r="X8" i="4"/>
  <c r="AO50" i="4" l="1"/>
  <c r="Y50" i="4"/>
  <c r="AN50" i="4"/>
  <c r="AL50" i="4"/>
  <c r="W68" i="4"/>
  <c r="AK68" i="4"/>
  <c r="U28" i="4"/>
  <c r="AB28" i="4"/>
  <c r="AC28" i="4" s="1"/>
  <c r="AE28" i="4"/>
  <c r="AJ28" i="4" s="1"/>
  <c r="W24" i="4"/>
  <c r="AK24" i="4"/>
  <c r="AP60" i="4"/>
  <c r="AQ60" i="4"/>
  <c r="AF71" i="4"/>
  <c r="AF65" i="4"/>
  <c r="AF53" i="4"/>
  <c r="AF47" i="4"/>
  <c r="AF35" i="4"/>
  <c r="AF41" i="4"/>
  <c r="AG41" i="4" s="1"/>
  <c r="AH41" i="4" s="1"/>
  <c r="AI41" i="4" s="1"/>
  <c r="AF29" i="4"/>
  <c r="U5" i="4"/>
  <c r="AF23" i="4"/>
  <c r="AF11" i="4"/>
  <c r="AJ5" i="4"/>
  <c r="AB5" i="4"/>
  <c r="AC5" i="4" s="1"/>
  <c r="AF5" i="4"/>
  <c r="AG5" i="4" s="1"/>
  <c r="AH5" i="4" s="1"/>
  <c r="AI5" i="4" s="1"/>
  <c r="AF59" i="4"/>
  <c r="AF17" i="4"/>
  <c r="AE5" i="4"/>
  <c r="AO47" i="4"/>
  <c r="Y47" i="4"/>
  <c r="AN47" i="4"/>
  <c r="AL47" i="4"/>
  <c r="AL30" i="4"/>
  <c r="Y30" i="4"/>
  <c r="AN30" i="4"/>
  <c r="AO30" i="4"/>
  <c r="AA70" i="4"/>
  <c r="AM70" i="4"/>
  <c r="AM29" i="4"/>
  <c r="AA29" i="4"/>
  <c r="AA74" i="4"/>
  <c r="AM74" i="4"/>
  <c r="AL12" i="4"/>
  <c r="AN12" i="4"/>
  <c r="Y12" i="4"/>
  <c r="AO12" i="4"/>
  <c r="W38" i="4"/>
  <c r="AK38" i="4"/>
  <c r="U19" i="4"/>
  <c r="AB19" i="4"/>
  <c r="AC19" i="4" s="1"/>
  <c r="AE19" i="4"/>
  <c r="AJ19" i="4" s="1"/>
  <c r="AK65" i="4"/>
  <c r="W65" i="4"/>
  <c r="U72" i="4"/>
  <c r="AB72" i="4"/>
  <c r="AC72" i="4" s="1"/>
  <c r="AE72" i="4"/>
  <c r="W30" i="4"/>
  <c r="AQ30" i="4" s="1"/>
  <c r="AK30" i="4"/>
  <c r="AP30" i="4" s="1"/>
  <c r="AL8" i="4"/>
  <c r="AN8" i="4"/>
  <c r="Y8" i="4"/>
  <c r="AO8" i="4"/>
  <c r="AA51" i="4"/>
  <c r="AM51" i="4"/>
  <c r="AO62" i="4"/>
  <c r="Y62" i="4"/>
  <c r="AN62" i="4"/>
  <c r="AL62" i="4"/>
  <c r="W67" i="4"/>
  <c r="AK67" i="4"/>
  <c r="AJ55" i="4"/>
  <c r="U55" i="4"/>
  <c r="AB55" i="4"/>
  <c r="AC55" i="4" s="1"/>
  <c r="AE55" i="4"/>
  <c r="AM25" i="4"/>
  <c r="AA25" i="4"/>
  <c r="AB34" i="4"/>
  <c r="U34" i="4"/>
  <c r="AE34" i="4"/>
  <c r="AJ34" i="4" s="1"/>
  <c r="AC34" i="4"/>
  <c r="AC26" i="4"/>
  <c r="U26" i="4"/>
  <c r="AB26" i="4"/>
  <c r="AE26" i="4"/>
  <c r="AJ26" i="4" s="1"/>
  <c r="AA24" i="4"/>
  <c r="AM24" i="4"/>
  <c r="AK74" i="4"/>
  <c r="W74" i="4"/>
  <c r="AA62" i="4"/>
  <c r="AM62" i="4"/>
  <c r="U65" i="4"/>
  <c r="AB65" i="4"/>
  <c r="AC65" i="4" s="1"/>
  <c r="AE65" i="4"/>
  <c r="AJ65" i="4" s="1"/>
  <c r="AM72" i="4"/>
  <c r="AA72" i="4"/>
  <c r="AF75" i="4"/>
  <c r="AF69" i="4"/>
  <c r="AF51" i="4"/>
  <c r="AF63" i="4"/>
  <c r="AF45" i="4"/>
  <c r="AF39" i="4"/>
  <c r="AF33" i="4"/>
  <c r="AF21" i="4"/>
  <c r="AF57" i="4"/>
  <c r="AC9" i="4"/>
  <c r="U9" i="4"/>
  <c r="AF15" i="4"/>
  <c r="AJ9" i="4"/>
  <c r="AB9" i="4"/>
  <c r="AF9" i="4"/>
  <c r="AE9" i="4"/>
  <c r="AF27" i="4"/>
  <c r="AJ35" i="4"/>
  <c r="AB35" i="4"/>
  <c r="AC35" i="4" s="1"/>
  <c r="U35" i="4"/>
  <c r="AE35" i="4"/>
  <c r="AM53" i="4"/>
  <c r="AA53" i="4"/>
  <c r="W75" i="4"/>
  <c r="AK75" i="4"/>
  <c r="AA34" i="4"/>
  <c r="AM34" i="4"/>
  <c r="AL73" i="4"/>
  <c r="AO73" i="4"/>
  <c r="AN73" i="4"/>
  <c r="Y73" i="4"/>
  <c r="U53" i="4"/>
  <c r="AJ53" i="4"/>
  <c r="AB53" i="4"/>
  <c r="AC53" i="4" s="1"/>
  <c r="AE53" i="4"/>
  <c r="AM75" i="4"/>
  <c r="AA75" i="4"/>
  <c r="AA6" i="4"/>
  <c r="AM6" i="4"/>
  <c r="AB52" i="4"/>
  <c r="AC52" i="4" s="1"/>
  <c r="U52" i="4"/>
  <c r="AJ52" i="4"/>
  <c r="AE52" i="4"/>
  <c r="W64" i="4"/>
  <c r="AK64" i="4"/>
  <c r="AA33" i="4"/>
  <c r="AM33" i="4"/>
  <c r="AP27" i="4"/>
  <c r="W15" i="4"/>
  <c r="AK15" i="4"/>
  <c r="U21" i="4"/>
  <c r="AB21" i="4"/>
  <c r="AC21" i="4" s="1"/>
  <c r="AE21" i="4"/>
  <c r="AJ21" i="4" s="1"/>
  <c r="Y5" i="4"/>
  <c r="AO5" i="4"/>
  <c r="AN5" i="4"/>
  <c r="AL5" i="4"/>
  <c r="B18" i="5"/>
  <c r="AF64" i="4"/>
  <c r="AF52" i="4"/>
  <c r="AF40" i="4"/>
  <c r="AF46" i="4"/>
  <c r="AG46" i="4" s="1"/>
  <c r="AH46" i="4" s="1"/>
  <c r="AI46" i="4" s="1"/>
  <c r="AF70" i="4"/>
  <c r="AF58" i="4"/>
  <c r="AF28" i="4"/>
  <c r="AF34" i="4"/>
  <c r="U4" i="4"/>
  <c r="AB4" i="4"/>
  <c r="AC4" i="4" s="1"/>
  <c r="AF10" i="4"/>
  <c r="AG10" i="4" s="1"/>
  <c r="AH10" i="4" s="1"/>
  <c r="AI10" i="4" s="1"/>
  <c r="AF22" i="4"/>
  <c r="AF16" i="4"/>
  <c r="AF4" i="4"/>
  <c r="AE4" i="4"/>
  <c r="B19" i="5" s="1"/>
  <c r="W20" i="4"/>
  <c r="AK20" i="4"/>
  <c r="AM71" i="4"/>
  <c r="AA71" i="4"/>
  <c r="AA73" i="4"/>
  <c r="AM73" i="4"/>
  <c r="AQ22" i="4"/>
  <c r="AP22" i="4"/>
  <c r="AA41" i="4"/>
  <c r="AM41" i="4"/>
  <c r="AK57" i="4"/>
  <c r="AP57" i="4" s="1"/>
  <c r="W57" i="4"/>
  <c r="AQ57" i="4" s="1"/>
  <c r="AO66" i="4"/>
  <c r="Y66" i="4"/>
  <c r="AN66" i="4"/>
  <c r="AL66" i="4"/>
  <c r="AM4" i="4"/>
  <c r="F18" i="5" s="1"/>
  <c r="AA4" i="4"/>
  <c r="F26" i="5" s="1"/>
  <c r="U67" i="4"/>
  <c r="AB67" i="4"/>
  <c r="AE67" i="4"/>
  <c r="AJ67" i="4" s="1"/>
  <c r="AF44" i="4"/>
  <c r="AF68" i="4"/>
  <c r="AF32" i="4"/>
  <c r="AF50" i="4"/>
  <c r="AF74" i="4"/>
  <c r="AF20" i="4"/>
  <c r="AF62" i="4"/>
  <c r="AF38" i="4"/>
  <c r="AF56" i="4"/>
  <c r="AF26" i="4"/>
  <c r="AJ8" i="4"/>
  <c r="AB8" i="4"/>
  <c r="AC8" i="4" s="1"/>
  <c r="U8" i="4"/>
  <c r="AF14" i="4"/>
  <c r="AF8" i="4"/>
  <c r="AE8" i="4"/>
  <c r="AM44" i="4"/>
  <c r="AA44" i="4"/>
  <c r="AQ44" i="4" s="1"/>
  <c r="AO74" i="4"/>
  <c r="Y74" i="4"/>
  <c r="AC74" i="4" s="1"/>
  <c r="AN74" i="4"/>
  <c r="AL74" i="4"/>
  <c r="AM55" i="4"/>
  <c r="AA55" i="4"/>
  <c r="AA46" i="4"/>
  <c r="AM46" i="4"/>
  <c r="AO9" i="4"/>
  <c r="Y9" i="4"/>
  <c r="AN9" i="4"/>
  <c r="AL9" i="4"/>
  <c r="W55" i="4"/>
  <c r="AK55" i="4"/>
  <c r="AL72" i="4"/>
  <c r="AO72" i="4"/>
  <c r="Y72" i="4"/>
  <c r="AN72" i="4"/>
  <c r="AK9" i="4"/>
  <c r="W9" i="4"/>
  <c r="AA54" i="4"/>
  <c r="AM54" i="4"/>
  <c r="AA27" i="4"/>
  <c r="AC27" i="4" s="1"/>
  <c r="AM27" i="4"/>
  <c r="AC23" i="4"/>
  <c r="U23" i="4"/>
  <c r="AB23" i="4"/>
  <c r="AE23" i="4"/>
  <c r="AJ23" i="4" s="1"/>
  <c r="W71" i="4"/>
  <c r="AK71" i="4"/>
  <c r="AF67" i="4"/>
  <c r="AF73" i="4"/>
  <c r="AF55" i="4"/>
  <c r="AF43" i="4"/>
  <c r="AF49" i="4"/>
  <c r="AF37" i="4"/>
  <c r="AF25" i="4"/>
  <c r="AF31" i="4"/>
  <c r="AJ7" i="4"/>
  <c r="AB7" i="4"/>
  <c r="AF7" i="4"/>
  <c r="U7" i="4"/>
  <c r="AF19" i="4"/>
  <c r="AF13" i="4"/>
  <c r="AF61" i="4"/>
  <c r="AE7" i="4"/>
  <c r="AM8" i="4"/>
  <c r="AA8" i="4"/>
  <c r="AM18" i="4"/>
  <c r="AA18" i="4"/>
  <c r="AC18" i="4" s="1"/>
  <c r="AQ40" i="4"/>
  <c r="W12" i="4"/>
  <c r="AK12" i="4"/>
  <c r="AO21" i="4"/>
  <c r="Y21" i="4"/>
  <c r="AN21" i="4"/>
  <c r="AL21" i="4"/>
  <c r="AM52" i="4"/>
  <c r="AA52" i="4"/>
  <c r="AO64" i="4"/>
  <c r="Y64" i="4"/>
  <c r="AN64" i="4"/>
  <c r="AL64" i="4"/>
  <c r="U33" i="4"/>
  <c r="AB33" i="4"/>
  <c r="AC33" i="4" s="1"/>
  <c r="AE33" i="4"/>
  <c r="AJ33" i="4" s="1"/>
  <c r="AB63" i="4"/>
  <c r="AC63" i="4" s="1"/>
  <c r="U63" i="4"/>
  <c r="AJ63" i="4"/>
  <c r="AE63" i="4"/>
  <c r="AK13" i="4"/>
  <c r="W13" i="4"/>
  <c r="AK31" i="4"/>
  <c r="W31" i="4"/>
  <c r="B31" i="5"/>
  <c r="U14" i="4"/>
  <c r="AB14" i="4"/>
  <c r="AE14" i="4"/>
  <c r="AJ14" i="4" s="1"/>
  <c r="U20" i="4"/>
  <c r="AB20" i="4"/>
  <c r="AC20" i="4" s="1"/>
  <c r="AJ20" i="4"/>
  <c r="AE20" i="4"/>
  <c r="U73" i="4"/>
  <c r="AB73" i="4"/>
  <c r="AC73" i="4" s="1"/>
  <c r="AE73" i="4"/>
  <c r="AC41" i="4"/>
  <c r="U41" i="4"/>
  <c r="AJ41" i="4"/>
  <c r="AB41" i="4"/>
  <c r="AE41" i="4"/>
  <c r="AM68" i="4"/>
  <c r="AA68" i="4"/>
  <c r="AA66" i="4"/>
  <c r="AM66" i="4"/>
  <c r="AA15" i="4"/>
  <c r="AC15" i="4" s="1"/>
  <c r="AM15" i="4"/>
  <c r="U50" i="4"/>
  <c r="AB50" i="4"/>
  <c r="AC50" i="4" s="1"/>
  <c r="AE50" i="4"/>
  <c r="AJ50" i="4" s="1"/>
  <c r="AL49" i="4"/>
  <c r="Y49" i="4"/>
  <c r="AC49" i="4" s="1"/>
  <c r="AO49" i="4"/>
  <c r="AN49" i="4"/>
  <c r="AK62" i="4"/>
  <c r="W62" i="4"/>
  <c r="AO17" i="4"/>
  <c r="AN17" i="4"/>
  <c r="Y17" i="4"/>
  <c r="AL17" i="4"/>
  <c r="AK23" i="4"/>
  <c r="W23" i="4"/>
  <c r="AB42" i="4"/>
  <c r="AC42" i="4" s="1"/>
  <c r="U42" i="4"/>
  <c r="AE42" i="4"/>
  <c r="AJ42" i="4" s="1"/>
  <c r="AC11" i="4"/>
  <c r="U11" i="4"/>
  <c r="AB11" i="4"/>
  <c r="AE11" i="4"/>
  <c r="AJ11" i="4" s="1"/>
  <c r="AO11" i="4"/>
  <c r="Y11" i="4"/>
  <c r="AL11" i="4"/>
  <c r="AN11" i="4"/>
  <c r="AM67" i="4"/>
  <c r="AA67" i="4"/>
  <c r="AO65" i="4"/>
  <c r="AN65" i="4"/>
  <c r="AL65" i="4"/>
  <c r="Y65" i="4"/>
  <c r="U17" i="4"/>
  <c r="AB17" i="4"/>
  <c r="AC17" i="4" s="1"/>
  <c r="AJ17" i="4"/>
  <c r="AE17" i="4"/>
  <c r="W16" i="4"/>
  <c r="AQ16" i="4" s="1"/>
  <c r="AK16" i="4"/>
  <c r="AP16" i="4" s="1"/>
  <c r="AQ58" i="4"/>
  <c r="AP58" i="4"/>
  <c r="AC46" i="4"/>
  <c r="U46" i="4"/>
  <c r="AB46" i="4"/>
  <c r="AE46" i="4"/>
  <c r="AJ46" i="4" s="1"/>
  <c r="AN53" i="4"/>
  <c r="AL53" i="4"/>
  <c r="AO53" i="4"/>
  <c r="Y53" i="4"/>
  <c r="W45" i="4"/>
  <c r="AQ45" i="4" s="1"/>
  <c r="AK45" i="4"/>
  <c r="AP45" i="4" s="1"/>
  <c r="U43" i="4"/>
  <c r="AB43" i="4"/>
  <c r="AC43" i="4" s="1"/>
  <c r="AE43" i="4"/>
  <c r="AJ43" i="4" s="1"/>
  <c r="AB59" i="4"/>
  <c r="AC59" i="4" s="1"/>
  <c r="AJ59" i="4"/>
  <c r="U59" i="4"/>
  <c r="AE59" i="4"/>
  <c r="U12" i="4"/>
  <c r="AB12" i="4"/>
  <c r="AC12" i="4" s="1"/>
  <c r="AE12" i="4"/>
  <c r="AJ12" i="4" s="1"/>
  <c r="W10" i="4"/>
  <c r="AK10" i="4"/>
  <c r="AL33" i="4"/>
  <c r="AO33" i="4"/>
  <c r="Y33" i="4"/>
  <c r="AN33" i="4"/>
  <c r="AK50" i="4"/>
  <c r="W50" i="4"/>
  <c r="U54" i="4"/>
  <c r="AB54" i="4"/>
  <c r="AC54" i="4" s="1"/>
  <c r="AE54" i="4"/>
  <c r="AJ54" i="4" s="1"/>
  <c r="AA23" i="4"/>
  <c r="AM23" i="4"/>
  <c r="AL41" i="4"/>
  <c r="AO41" i="4"/>
  <c r="Y41" i="4"/>
  <c r="AN41" i="4"/>
  <c r="AA38" i="4"/>
  <c r="AC38" i="4" s="1"/>
  <c r="AM38" i="4"/>
  <c r="AO19" i="4"/>
  <c r="Y19" i="4"/>
  <c r="AN19" i="4"/>
  <c r="AL19" i="4"/>
  <c r="AM64" i="4"/>
  <c r="AA64" i="4"/>
  <c r="W63" i="4"/>
  <c r="AK63" i="4"/>
  <c r="W39" i="4"/>
  <c r="AK39" i="4"/>
  <c r="AO31" i="4"/>
  <c r="AN31" i="4"/>
  <c r="AL31" i="4"/>
  <c r="Y31" i="4"/>
  <c r="W44" i="4"/>
  <c r="AK44" i="4"/>
  <c r="AF72" i="4"/>
  <c r="AF66" i="4"/>
  <c r="AF48" i="4"/>
  <c r="AG48" i="4" s="1"/>
  <c r="AH48" i="4" s="1"/>
  <c r="AI48" i="4" s="1"/>
  <c r="AF54" i="4"/>
  <c r="AF36" i="4"/>
  <c r="AF60" i="4"/>
  <c r="AF24" i="4"/>
  <c r="AF18" i="4"/>
  <c r="AF42" i="4"/>
  <c r="AF6" i="4"/>
  <c r="AF12" i="4"/>
  <c r="AG12" i="4" s="1"/>
  <c r="AH12" i="4" s="1"/>
  <c r="AI12" i="4" s="1"/>
  <c r="AF30" i="4"/>
  <c r="U6" i="4"/>
  <c r="AB6" i="4"/>
  <c r="AC6" i="4" s="1"/>
  <c r="AE6" i="4"/>
  <c r="AJ6" i="4" s="1"/>
  <c r="AQ32" i="4"/>
  <c r="AP32" i="4"/>
  <c r="AM30" i="4"/>
  <c r="AA30" i="4"/>
  <c r="U68" i="4"/>
  <c r="AB68" i="4"/>
  <c r="AC68" i="4" s="1"/>
  <c r="AE68" i="4"/>
  <c r="AJ68" i="4" s="1"/>
  <c r="AK66" i="4"/>
  <c r="W66" i="4"/>
  <c r="AB15" i="4"/>
  <c r="U15" i="4"/>
  <c r="AE15" i="4"/>
  <c r="AJ15" i="4" s="1"/>
  <c r="AK27" i="4"/>
  <c r="W27" i="4"/>
  <c r="AQ27" i="4" s="1"/>
  <c r="AK70" i="4"/>
  <c r="W70" i="4"/>
  <c r="AM49" i="4"/>
  <c r="AA49" i="4"/>
  <c r="AQ38" i="4"/>
  <c r="AP38" i="4"/>
  <c r="AA47" i="4"/>
  <c r="AM47" i="4"/>
  <c r="U37" i="4"/>
  <c r="AB37" i="4"/>
  <c r="AC37" i="4" s="1"/>
  <c r="AE37" i="4"/>
  <c r="AJ37" i="4" s="1"/>
  <c r="AM48" i="4"/>
  <c r="AA48" i="4"/>
  <c r="AC10" i="4"/>
  <c r="U10" i="4"/>
  <c r="AB10" i="4"/>
  <c r="AE10" i="4"/>
  <c r="AJ10" i="4" s="1"/>
  <c r="AM13" i="4"/>
  <c r="AA13" i="4"/>
  <c r="W35" i="4"/>
  <c r="AK35" i="4"/>
  <c r="AO43" i="4"/>
  <c r="AN43" i="4"/>
  <c r="AL43" i="4"/>
  <c r="Y43" i="4"/>
  <c r="W8" i="4"/>
  <c r="AK8" i="4"/>
  <c r="AO54" i="4"/>
  <c r="Y54" i="4"/>
  <c r="AN54" i="4"/>
  <c r="AL54" i="4"/>
  <c r="U25" i="4"/>
  <c r="AB25" i="4"/>
  <c r="AC25" i="4" s="1"/>
  <c r="AE25" i="4"/>
  <c r="AJ25" i="4" s="1"/>
  <c r="AJ47" i="4"/>
  <c r="U47" i="4"/>
  <c r="AB47" i="4"/>
  <c r="AC47" i="4" s="1"/>
  <c r="AE47" i="4"/>
  <c r="AK41" i="4"/>
  <c r="W41" i="4"/>
  <c r="AC29" i="4"/>
  <c r="U29" i="4"/>
  <c r="AB29" i="4"/>
  <c r="AE29" i="4"/>
  <c r="AJ29" i="4" s="1"/>
  <c r="AP44" i="4"/>
  <c r="AA14" i="4"/>
  <c r="AC14" i="4" s="1"/>
  <c r="AM14" i="4"/>
  <c r="W59" i="4"/>
  <c r="AK59" i="4"/>
  <c r="U64" i="4"/>
  <c r="AB64" i="4"/>
  <c r="AC64" i="4" s="1"/>
  <c r="AE64" i="4"/>
  <c r="AJ64" i="4" s="1"/>
  <c r="AA65" i="4"/>
  <c r="AM65" i="4"/>
  <c r="AQ61" i="4"/>
  <c r="AP61" i="4"/>
  <c r="AM21" i="4"/>
  <c r="AA21" i="4"/>
  <c r="U51" i="4"/>
  <c r="AJ51" i="4"/>
  <c r="AB51" i="4"/>
  <c r="AC51" i="4" s="1"/>
  <c r="AE51" i="4"/>
  <c r="U71" i="4"/>
  <c r="AB71" i="4"/>
  <c r="AC71" i="4" s="1"/>
  <c r="AE71" i="4"/>
  <c r="W26" i="4"/>
  <c r="AK26" i="4"/>
  <c r="AA20" i="4"/>
  <c r="AM20" i="4"/>
  <c r="W56" i="4"/>
  <c r="AQ56" i="4" s="1"/>
  <c r="AK56" i="4"/>
  <c r="AP56" i="4" s="1"/>
  <c r="AO67" i="4"/>
  <c r="Y67" i="4"/>
  <c r="AC67" i="4" s="1"/>
  <c r="AN67" i="4"/>
  <c r="AL67" i="4"/>
  <c r="AL37" i="4"/>
  <c r="AO37" i="4"/>
  <c r="Y37" i="4"/>
  <c r="AN37" i="4"/>
  <c r="AC13" i="4"/>
  <c r="U13" i="4"/>
  <c r="AJ13" i="4"/>
  <c r="AB13" i="4"/>
  <c r="AE13" i="4"/>
  <c r="Y16" i="4"/>
  <c r="AC16" i="4" s="1"/>
  <c r="AL16" i="4"/>
  <c r="AO16" i="4"/>
  <c r="AN16" i="4"/>
  <c r="AA19" i="4"/>
  <c r="AM19" i="4"/>
  <c r="AO44" i="4"/>
  <c r="Y44" i="4"/>
  <c r="AN44" i="4"/>
  <c r="AL44" i="4"/>
  <c r="W43" i="4"/>
  <c r="AK43" i="4"/>
  <c r="AK58" i="4"/>
  <c r="W58" i="4"/>
  <c r="U62" i="4"/>
  <c r="AB62" i="4"/>
  <c r="AC62" i="4" s="1"/>
  <c r="AE62" i="4"/>
  <c r="AJ62" i="4" s="1"/>
  <c r="AB75" i="4"/>
  <c r="AC75" i="4" s="1"/>
  <c r="U75" i="4"/>
  <c r="AE75" i="4"/>
  <c r="AA37" i="4"/>
  <c r="AM37" i="4"/>
  <c r="AO63" i="4"/>
  <c r="Y63" i="4"/>
  <c r="AN63" i="4"/>
  <c r="AL63" i="4"/>
  <c r="AQ18" i="4"/>
  <c r="AP18" i="4"/>
  <c r="W17" i="4"/>
  <c r="AK17" i="4"/>
  <c r="AJ39" i="4"/>
  <c r="AB39" i="4"/>
  <c r="AC39" i="4" s="1"/>
  <c r="U39" i="4"/>
  <c r="AE39" i="4"/>
  <c r="U31" i="4"/>
  <c r="AB31" i="4"/>
  <c r="AC31" i="4" s="1"/>
  <c r="AJ31" i="4"/>
  <c r="AE31" i="4"/>
  <c r="AB48" i="4"/>
  <c r="AC48" i="4" s="1"/>
  <c r="U48" i="4"/>
  <c r="AE48" i="4"/>
  <c r="AJ48" i="4" s="1"/>
  <c r="AM7" i="4"/>
  <c r="AA7" i="4"/>
  <c r="AC7" i="4" s="1"/>
  <c r="AM12" i="4"/>
  <c r="AA12" i="4"/>
  <c r="AB24" i="4"/>
  <c r="U24" i="4"/>
  <c r="AC24" i="4"/>
  <c r="AE24" i="4"/>
  <c r="AJ24" i="4" s="1"/>
  <c r="AC69" i="4"/>
  <c r="U69" i="4"/>
  <c r="AB69" i="4"/>
  <c r="AE69" i="4"/>
  <c r="AJ69" i="4" s="1"/>
  <c r="AO46" i="4"/>
  <c r="Y46" i="4"/>
  <c r="AN46" i="4"/>
  <c r="AL46" i="4"/>
  <c r="U66" i="4"/>
  <c r="AB66" i="4"/>
  <c r="AC66" i="4" s="1"/>
  <c r="AE66" i="4"/>
  <c r="AJ66" i="4" s="1"/>
  <c r="AK5" i="4"/>
  <c r="W5" i="4"/>
  <c r="AM11" i="4"/>
  <c r="AA11" i="4"/>
  <c r="U70" i="4"/>
  <c r="AB70" i="4"/>
  <c r="AC70" i="4" s="1"/>
  <c r="AE70" i="4"/>
  <c r="U49" i="4"/>
  <c r="AJ49" i="4"/>
  <c r="AB49" i="4"/>
  <c r="AE49" i="4"/>
  <c r="AQ29" i="4" l="1"/>
  <c r="AP29" i="4"/>
  <c r="AQ13" i="4"/>
  <c r="AP13" i="4"/>
  <c r="AG40" i="4"/>
  <c r="AH40" i="4" s="1"/>
  <c r="AI40" i="4" s="1"/>
  <c r="AP9" i="4"/>
  <c r="AQ9" i="4"/>
  <c r="AG72" i="4"/>
  <c r="AH72" i="4" s="1"/>
  <c r="AI72" i="4" s="1"/>
  <c r="AJ72" i="4" s="1"/>
  <c r="AP17" i="4"/>
  <c r="AQ17" i="4"/>
  <c r="AQ55" i="4"/>
  <c r="AP55" i="4"/>
  <c r="AQ48" i="4"/>
  <c r="AP48" i="4"/>
  <c r="AG13" i="4"/>
  <c r="AH13" i="4" s="1"/>
  <c r="AI13" i="4" s="1"/>
  <c r="AG25" i="4"/>
  <c r="AH25" i="4" s="1"/>
  <c r="AI25" i="4" s="1"/>
  <c r="AG56" i="4"/>
  <c r="AH56" i="4" s="1"/>
  <c r="AI56" i="4" s="1"/>
  <c r="AG44" i="4"/>
  <c r="AH44" i="4" s="1"/>
  <c r="AI44" i="4" s="1"/>
  <c r="AG64" i="4"/>
  <c r="AH64" i="4" s="1"/>
  <c r="AI64" i="4" s="1"/>
  <c r="AG27" i="4"/>
  <c r="AH27" i="4" s="1"/>
  <c r="AI27" i="4" s="1"/>
  <c r="AG57" i="4"/>
  <c r="AH57" i="4" s="1"/>
  <c r="AI57" i="4" s="1"/>
  <c r="AG75" i="4"/>
  <c r="AH75" i="4" s="1"/>
  <c r="AI75" i="4" s="1"/>
  <c r="AJ75" i="4" s="1"/>
  <c r="AQ65" i="4"/>
  <c r="AP65" i="4"/>
  <c r="AQ19" i="4"/>
  <c r="AP19" i="4"/>
  <c r="AC30" i="4"/>
  <c r="AG11" i="4"/>
  <c r="AH11" i="4" s="1"/>
  <c r="AI11" i="4" s="1"/>
  <c r="AG53" i="4"/>
  <c r="AH53" i="4" s="1"/>
  <c r="AI53" i="4" s="1"/>
  <c r="AQ46" i="4"/>
  <c r="AP46" i="4"/>
  <c r="AQ11" i="4"/>
  <c r="AP11" i="4"/>
  <c r="AG66" i="4"/>
  <c r="AH66" i="4" s="1"/>
  <c r="AI66" i="4" s="1"/>
  <c r="AG31" i="4"/>
  <c r="AH31" i="4" s="1"/>
  <c r="AI31" i="4" s="1"/>
  <c r="AG51" i="4"/>
  <c r="AH51" i="4" s="1"/>
  <c r="AI51" i="4" s="1"/>
  <c r="AP31" i="4"/>
  <c r="AQ31" i="4"/>
  <c r="AG68" i="4"/>
  <c r="AH68" i="4" s="1"/>
  <c r="AI68" i="4" s="1"/>
  <c r="AQ53" i="4"/>
  <c r="AP53" i="4"/>
  <c r="AG18" i="4"/>
  <c r="AH18" i="4" s="1"/>
  <c r="AI18" i="4" s="1"/>
  <c r="AG24" i="4"/>
  <c r="AH24" i="4" s="1"/>
  <c r="AI24" i="4" s="1"/>
  <c r="AG19" i="4"/>
  <c r="AH19" i="4" s="1"/>
  <c r="AI19" i="4" s="1"/>
  <c r="AG37" i="4"/>
  <c r="AH37" i="4" s="1"/>
  <c r="AI37" i="4" s="1"/>
  <c r="AG8" i="4"/>
  <c r="AH8" i="4" s="1"/>
  <c r="AI8" i="4" s="1"/>
  <c r="AG38" i="4"/>
  <c r="AH38" i="4" s="1"/>
  <c r="AI38" i="4" s="1"/>
  <c r="AG4" i="4"/>
  <c r="AH4" i="4" s="1"/>
  <c r="AG34" i="4"/>
  <c r="AH34" i="4" s="1"/>
  <c r="AI34" i="4" s="1"/>
  <c r="AQ21" i="4"/>
  <c r="AP21" i="4"/>
  <c r="AG21" i="4"/>
  <c r="AH21" i="4" s="1"/>
  <c r="AI21" i="4" s="1"/>
  <c r="AQ72" i="4"/>
  <c r="AP72" i="4"/>
  <c r="AG23" i="4"/>
  <c r="AH23" i="4" s="1"/>
  <c r="AI23" i="4" s="1"/>
  <c r="AG65" i="4"/>
  <c r="AH65" i="4" s="1"/>
  <c r="AI65" i="4" s="1"/>
  <c r="AQ63" i="4"/>
  <c r="AP63" i="4"/>
  <c r="AQ52" i="4"/>
  <c r="AP52" i="4"/>
  <c r="AQ49" i="4"/>
  <c r="AP49" i="4"/>
  <c r="AQ41" i="4"/>
  <c r="AP41" i="4"/>
  <c r="AG32" i="4"/>
  <c r="AH32" i="4" s="1"/>
  <c r="AI32" i="4" s="1"/>
  <c r="AG61" i="4"/>
  <c r="AH61" i="4" s="1"/>
  <c r="AI61" i="4" s="1"/>
  <c r="AG69" i="4"/>
  <c r="AH69" i="4" s="1"/>
  <c r="AI69" i="4" s="1"/>
  <c r="AQ42" i="4"/>
  <c r="AP42" i="4"/>
  <c r="AQ20" i="4"/>
  <c r="AP20" i="4"/>
  <c r="AC44" i="4"/>
  <c r="AQ25" i="4"/>
  <c r="AP25" i="4"/>
  <c r="AQ15" i="4"/>
  <c r="AP15" i="4"/>
  <c r="AQ6" i="4"/>
  <c r="AP6" i="4"/>
  <c r="AG60" i="4"/>
  <c r="AH60" i="4" s="1"/>
  <c r="AI60" i="4" s="1"/>
  <c r="AP73" i="4"/>
  <c r="AQ7" i="4"/>
  <c r="AP7" i="4"/>
  <c r="AG49" i="4"/>
  <c r="AH49" i="4" s="1"/>
  <c r="AI49" i="4" s="1"/>
  <c r="AG14" i="4"/>
  <c r="AH14" i="4" s="1"/>
  <c r="AI14" i="4" s="1"/>
  <c r="AG62" i="4"/>
  <c r="AH62" i="4" s="1"/>
  <c r="AI62" i="4" s="1"/>
  <c r="AG16" i="4"/>
  <c r="AH16" i="4" s="1"/>
  <c r="AI16" i="4" s="1"/>
  <c r="AG28" i="4"/>
  <c r="AH28" i="4" s="1"/>
  <c r="AI28" i="4" s="1"/>
  <c r="AG9" i="4"/>
  <c r="AH9" i="4" s="1"/>
  <c r="AI9" i="4" s="1"/>
  <c r="AG33" i="4"/>
  <c r="AH33" i="4" s="1"/>
  <c r="AI33" i="4" s="1"/>
  <c r="AP5" i="4"/>
  <c r="AQ5" i="4"/>
  <c r="AG71" i="4"/>
  <c r="AH71" i="4" s="1"/>
  <c r="AI71" i="4" s="1"/>
  <c r="AJ71" i="4" s="1"/>
  <c r="AG73" i="4"/>
  <c r="AH73" i="4" s="1"/>
  <c r="AI73" i="4" s="1"/>
  <c r="AJ73" i="4" s="1"/>
  <c r="AQ73" i="4" s="1"/>
  <c r="AG50" i="4"/>
  <c r="AH50" i="4" s="1"/>
  <c r="AI50" i="4" s="1"/>
  <c r="AQ67" i="4"/>
  <c r="AP67" i="4"/>
  <c r="AG15" i="4"/>
  <c r="AH15" i="4" s="1"/>
  <c r="AI15" i="4" s="1"/>
  <c r="AG6" i="4"/>
  <c r="AH6" i="4" s="1"/>
  <c r="AI6" i="4" s="1"/>
  <c r="AG35" i="4"/>
  <c r="AH35" i="4" s="1"/>
  <c r="AI35" i="4" s="1"/>
  <c r="AG26" i="4"/>
  <c r="AH26" i="4" s="1"/>
  <c r="AI26" i="4" s="1"/>
  <c r="AG47" i="4"/>
  <c r="AH47" i="4" s="1"/>
  <c r="AI47" i="4" s="1"/>
  <c r="AQ64" i="4"/>
  <c r="AP64" i="4"/>
  <c r="AQ37" i="4"/>
  <c r="AP37" i="4"/>
  <c r="AG30" i="4"/>
  <c r="AH30" i="4" s="1"/>
  <c r="AI30" i="4" s="1"/>
  <c r="AG36" i="4"/>
  <c r="AH36" i="4" s="1"/>
  <c r="AI36" i="4" s="1"/>
  <c r="AQ54" i="4"/>
  <c r="AP54" i="4"/>
  <c r="AQ43" i="4"/>
  <c r="AP43" i="4"/>
  <c r="AQ50" i="4"/>
  <c r="AP50" i="4"/>
  <c r="AQ33" i="4"/>
  <c r="AP33" i="4"/>
  <c r="AG7" i="4"/>
  <c r="AH7" i="4" s="1"/>
  <c r="AI7" i="4" s="1"/>
  <c r="AG43" i="4"/>
  <c r="AH43" i="4" s="1"/>
  <c r="AI43" i="4" s="1"/>
  <c r="AQ8" i="4"/>
  <c r="AP8" i="4"/>
  <c r="AG20" i="4"/>
  <c r="AH20" i="4" s="1"/>
  <c r="AI20" i="4" s="1"/>
  <c r="AG22" i="4"/>
  <c r="AH22" i="4" s="1"/>
  <c r="AI22" i="4" s="1"/>
  <c r="AG58" i="4"/>
  <c r="AH58" i="4" s="1"/>
  <c r="AI58" i="4" s="1"/>
  <c r="AG39" i="4"/>
  <c r="AH39" i="4" s="1"/>
  <c r="AI39" i="4" s="1"/>
  <c r="AQ26" i="4"/>
  <c r="AP26" i="4"/>
  <c r="AG17" i="4"/>
  <c r="AH17" i="4" s="1"/>
  <c r="AI17" i="4" s="1"/>
  <c r="AQ28" i="4"/>
  <c r="AP28" i="4"/>
  <c r="AQ14" i="4"/>
  <c r="AP14" i="4"/>
  <c r="AG63" i="4"/>
  <c r="AH63" i="4" s="1"/>
  <c r="AI63" i="4" s="1"/>
  <c r="AQ51" i="4"/>
  <c r="AP51" i="4"/>
  <c r="AG67" i="4"/>
  <c r="AH67" i="4" s="1"/>
  <c r="AI67" i="4" s="1"/>
  <c r="AG42" i="4"/>
  <c r="AH42" i="4" s="1"/>
  <c r="AI42" i="4" s="1"/>
  <c r="AG52" i="4"/>
  <c r="AH52" i="4" s="1"/>
  <c r="AI52" i="4" s="1"/>
  <c r="AQ34" i="4"/>
  <c r="AP34" i="4"/>
  <c r="AQ12" i="4"/>
  <c r="AP12" i="4"/>
  <c r="AQ24" i="4"/>
  <c r="AP24" i="4"/>
  <c r="AQ62" i="4"/>
  <c r="AP62" i="4"/>
  <c r="AQ71" i="4"/>
  <c r="AP71" i="4"/>
  <c r="AQ68" i="4"/>
  <c r="AP68" i="4"/>
  <c r="AQ66" i="4"/>
  <c r="AP66" i="4"/>
  <c r="AQ69" i="4"/>
  <c r="AP69" i="4"/>
  <c r="AP39" i="4"/>
  <c r="AQ39" i="4"/>
  <c r="AQ75" i="4"/>
  <c r="AP75" i="4"/>
  <c r="AQ47" i="4"/>
  <c r="AP47" i="4"/>
  <c r="AQ10" i="4"/>
  <c r="AP10" i="4"/>
  <c r="AG54" i="4"/>
  <c r="AH54" i="4" s="1"/>
  <c r="AI54" i="4" s="1"/>
  <c r="AQ59" i="4"/>
  <c r="AP59" i="4"/>
  <c r="AG55" i="4"/>
  <c r="AH55" i="4" s="1"/>
  <c r="AI55" i="4" s="1"/>
  <c r="AQ23" i="4"/>
  <c r="AP23" i="4"/>
  <c r="AG74" i="4"/>
  <c r="AH74" i="4" s="1"/>
  <c r="AI74" i="4" s="1"/>
  <c r="AJ74" i="4" s="1"/>
  <c r="AJ4" i="4"/>
  <c r="AQ4" i="4" s="1"/>
  <c r="AG70" i="4"/>
  <c r="AH70" i="4" s="1"/>
  <c r="AI70" i="4" s="1"/>
  <c r="AJ70" i="4" s="1"/>
  <c r="AQ70" i="4" s="1"/>
  <c r="AP35" i="4"/>
  <c r="AQ35" i="4"/>
  <c r="AG45" i="4"/>
  <c r="AH45" i="4" s="1"/>
  <c r="AI45" i="4" s="1"/>
  <c r="AG59" i="4"/>
  <c r="AH59" i="4" s="1"/>
  <c r="AI59" i="4" s="1"/>
  <c r="AG29" i="4"/>
  <c r="AH29" i="4" s="1"/>
  <c r="AI29" i="4" s="1"/>
  <c r="AQ74" i="4" l="1"/>
  <c r="AP74" i="4"/>
  <c r="AP4" i="4"/>
  <c r="F21" i="5" s="1"/>
  <c r="F27" i="5"/>
  <c r="F31" i="5" s="1"/>
  <c r="B32" i="5" s="1"/>
  <c r="B21" i="5"/>
  <c r="AP70" i="4"/>
  <c r="B20" i="5"/>
  <c r="AI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5" authorId="0" shapeId="0" xr:uid="{00000000-0006-0000-0200-000001000000}">
      <text>
        <r>
          <rPr>
            <sz val="10"/>
            <rFont val="Arial"/>
            <family val="2"/>
          </rPr>
          <t>Sumber PPh 21/TER: https://pajak.go.id/sites/default/files/2024-02/PMK%20168%20Tahun%202023%20Tentang%20PPh%20Pasal%2021%20TER.pdf</t>
        </r>
      </text>
    </comment>
    <comment ref="F5" authorId="0" shapeId="0" xr:uid="{00000000-0006-0000-0200-000005000000}">
      <text>
        <r>
          <rPr>
            <sz val="10"/>
            <rFont val="Arial"/>
            <family val="2"/>
          </rPr>
          <t>Sumber PTKP: https://www.pajak.go.id/id/artikel/gaji-enam-juta-yuk-hitung-pajak-penghasilan-kaluna</t>
        </r>
      </text>
    </comment>
    <comment ref="J5" authorId="0" shapeId="0" xr:uid="{00000000-0006-0000-0200-000006000000}">
      <text>
        <r>
          <rPr>
            <sz val="10"/>
            <rFont val="Arial"/>
            <family val="2"/>
          </rPr>
          <t>Sumber tabel TER: https://www.gadjian.com/perhitungan-pph-21/tarif-pajak</t>
        </r>
      </text>
    </comment>
    <comment ref="M5" authorId="0" shapeId="0" xr:uid="{00000000-0006-0000-0200-000007000000}">
      <text>
        <r>
          <rPr>
            <sz val="10"/>
            <rFont val="Arial"/>
            <family val="2"/>
          </rPr>
          <t>Sumber tabel TER: https://www.gadjian.com/perhitungan-pph-21/tarif-pajak</t>
        </r>
      </text>
    </comment>
    <comment ref="P5" authorId="0" shapeId="0" xr:uid="{00000000-0006-0000-0200-000008000000}">
      <text>
        <r>
          <rPr>
            <sz val="10"/>
            <rFont val="Arial"/>
            <family val="2"/>
          </rPr>
          <t>Sumber tabel TER: https://www.gadjian.com/perhitungan-pph-21/tarif-pajak</t>
        </r>
      </text>
    </comment>
    <comment ref="B8" authorId="0" shapeId="0" xr:uid="{00000000-0006-0000-0200-000002000000}">
      <text>
        <r>
          <rPr>
            <sz val="10"/>
            <rFont val="Arial"/>
            <family val="2"/>
          </rPr>
          <t>Sumber BPJS Kesehatan PPU: https://peraturan.bpk.go.id/Download/127554/Perpres%20Nomor%2064%20Tahun%202020.pdf</t>
        </r>
      </text>
    </comment>
    <comment ref="B9" authorId="0" shapeId="0" xr:uid="{00000000-0006-0000-0200-000003000000}">
      <text>
        <r>
          <rPr>
            <sz val="10"/>
            <rFont val="Arial"/>
            <family val="2"/>
          </rPr>
          <t>Sumber proporsi BPJS Kesehatan: https://www.gadjian.com/blog/2021/01/28/contoh-perhitungan-bpjs-kesehatan-karyawan/</t>
        </r>
      </text>
    </comment>
    <comment ref="B11" authorId="0" shapeId="0" xr:uid="{00000000-0006-0000-0200-000004000000}">
      <text>
        <r>
          <rPr>
            <sz val="10"/>
            <rFont val="Arial"/>
            <family val="2"/>
          </rPr>
          <t>Sumber JHT/JP/JKM: https://www.bpjsketenagakerjaan.go.id/artikel/18913/artikel-berapa-besaran-iuran-jht%2C-jkk%2C-jkm%2C-jp-dan-jkp</t>
        </r>
      </text>
    </comment>
  </commentList>
</comments>
</file>

<file path=xl/sharedStrings.xml><?xml version="1.0" encoding="utf-8"?>
<sst xmlns="http://schemas.openxmlformats.org/spreadsheetml/2006/main" count="377" uniqueCount="215">
  <si>
    <t>Template Payroll &amp; Slip Gaji Karyawan Full Time</t>
  </si>
  <si>
    <t>Workbook ini berisi sample data lengkap karyawan, payroll bulanan, detail PPh 21, BPJS, dan 1 lembar slip gaji.</t>
  </si>
  <si>
    <t>Edit data identitas &amp; gaji di sheet Master_Karyawan. Semua data saat ini adalah contoh.</t>
  </si>
  <si>
    <t>Edit input variabel bulanan (lembur, bonus, THR, reimburse, potongan lain) di sheet Payroll_Detail.</t>
  </si>
  <si>
    <t>Jan–Nov memakai TER bulanan, Desember otomatis true-up tahunan dengan tarif progresif Pasal 17.</t>
  </si>
  <si>
    <t>Asumsi pajak dan BPJS ada di sheet Asumsi_Pajak dan dapat diubah bila aturan perusahaan/otoritas berubah.</t>
  </si>
  <si>
    <t>Slip_Gaji menarik data berdasar Tahun, Bulan, dan EmpID yang dipilih pada sel berwarna kuning.</t>
  </si>
  <si>
    <t>Template tidak otomatis memasukkan skema insentif sektoral khusus seperti PPh 21 DTP 2026.</t>
  </si>
  <si>
    <t>Master Data Karyawan</t>
  </si>
  <si>
    <t>EmpID</t>
  </si>
  <si>
    <t>NIK</t>
  </si>
  <si>
    <t>NPWP</t>
  </si>
  <si>
    <t>Nama</t>
  </si>
  <si>
    <t>Gender</t>
  </si>
  <si>
    <t>Status Kawin</t>
  </si>
  <si>
    <t>Tanggungan</t>
  </si>
  <si>
    <t>PTKP</t>
  </si>
  <si>
    <t>TER Kategori</t>
  </si>
  <si>
    <t>Join Date</t>
  </si>
  <si>
    <t>Department</t>
  </si>
  <si>
    <t>Jabatan</t>
  </si>
  <si>
    <t>Employment Type</t>
  </si>
  <si>
    <t>Bank</t>
  </si>
  <si>
    <t>No. Rekening</t>
  </si>
  <si>
    <t>Email</t>
  </si>
  <si>
    <t>No. HP</t>
  </si>
  <si>
    <t>Alamat</t>
  </si>
  <si>
    <t>Gaji Pokok</t>
  </si>
  <si>
    <t>Tunjangan Tetap</t>
  </si>
  <si>
    <t>Tunjangan Lain Tetap</t>
  </si>
  <si>
    <t>BPJS Kes</t>
  </si>
  <si>
    <t>BPJS TK</t>
  </si>
  <si>
    <t>Rate JKK</t>
  </si>
  <si>
    <t>Catatan</t>
  </si>
  <si>
    <t>FT001</t>
  </si>
  <si>
    <t>3174-0112-0190-0001</t>
  </si>
  <si>
    <t>12.345.678.9-012.000</t>
  </si>
  <si>
    <t>Andi Pratama</t>
  </si>
  <si>
    <t>L</t>
  </si>
  <si>
    <t>TK</t>
  </si>
  <si>
    <t>TK/0</t>
  </si>
  <si>
    <t>A</t>
  </si>
  <si>
    <t>Sales</t>
  </si>
  <si>
    <t>Sales Executive</t>
  </si>
  <si>
    <t>Full Time</t>
  </si>
  <si>
    <t>BCA</t>
  </si>
  <si>
    <t>1234567890</t>
  </si>
  <si>
    <t>andi.pratama@example.com</t>
  </si>
  <si>
    <t>081234567801</t>
  </si>
  <si>
    <t>Jl. Merdeka No. 10, Jakarta</t>
  </si>
  <si>
    <t>Y</t>
  </si>
  <si>
    <t>Sample data</t>
  </si>
  <si>
    <t>FT002</t>
  </si>
  <si>
    <t>3273-0123-0291-0002</t>
  </si>
  <si>
    <t>23.456.789.0-123.000</t>
  </si>
  <si>
    <t>Siti Nurhaliza</t>
  </si>
  <si>
    <t>P</t>
  </si>
  <si>
    <t>K</t>
  </si>
  <si>
    <t>K/1</t>
  </si>
  <si>
    <t>B</t>
  </si>
  <si>
    <t>HR</t>
  </si>
  <si>
    <t>HR Officer</t>
  </si>
  <si>
    <t>Mandiri</t>
  </si>
  <si>
    <t>9876543210</t>
  </si>
  <si>
    <t>siti.nurhaliza@example.com</t>
  </si>
  <si>
    <t>081234567802</t>
  </si>
  <si>
    <t>Jl. Kenanga No. 7, Bandung</t>
  </si>
  <si>
    <t>FT003</t>
  </si>
  <si>
    <t>3578-0115-0388-0003</t>
  </si>
  <si>
    <t>34.567.890.1-234.000</t>
  </si>
  <si>
    <t>Budi Santoso</t>
  </si>
  <si>
    <t>K/3</t>
  </si>
  <si>
    <t>C</t>
  </si>
  <si>
    <t>IT</t>
  </si>
  <si>
    <t>IT Supervisor</t>
  </si>
  <si>
    <t>BNI</t>
  </si>
  <si>
    <t>1122334455</t>
  </si>
  <si>
    <t>budi.santoso@example.com</t>
  </si>
  <si>
    <t>081234567803</t>
  </si>
  <si>
    <t>Jl. Anggrek No. 21, Surabaya</t>
  </si>
  <si>
    <t>FT004</t>
  </si>
  <si>
    <t>3374-0107-0492-0004</t>
  </si>
  <si>
    <t>45.678.901.2-345.000</t>
  </si>
  <si>
    <t>Dewi Lestari</t>
  </si>
  <si>
    <t>TK/2</t>
  </si>
  <si>
    <t>Finance</t>
  </si>
  <si>
    <t>Finance Analyst</t>
  </si>
  <si>
    <t>CIMB Niaga</t>
  </si>
  <si>
    <t>5566778899</t>
  </si>
  <si>
    <t>dewi.lestari@example.com</t>
  </si>
  <si>
    <t>081234567804</t>
  </si>
  <si>
    <t>Jl. Melati No. 18, Semarang</t>
  </si>
  <si>
    <t>FT005</t>
  </si>
  <si>
    <t>3172-0109-0595-0005</t>
  </si>
  <si>
    <t>56.789.012.3-456.000</t>
  </si>
  <si>
    <t>Rudi Hartono</t>
  </si>
  <si>
    <t>K/0</t>
  </si>
  <si>
    <t>Operations</t>
  </si>
  <si>
    <t>Warehouse Lead</t>
  </si>
  <si>
    <t>BRI</t>
  </si>
  <si>
    <t>6677889900</t>
  </si>
  <si>
    <t>rudi.hartono@example.com</t>
  </si>
  <si>
    <t>081234567805</t>
  </si>
  <si>
    <t>Jl. Dahlia No. 3, Bekasi</t>
  </si>
  <si>
    <t>FT006</t>
  </si>
  <si>
    <t>3276-0211-0796-0006</t>
  </si>
  <si>
    <t>67.890.123.4-567.000</t>
  </si>
  <si>
    <t>Maya Putri</t>
  </si>
  <si>
    <t>TK/1</t>
  </si>
  <si>
    <t>Marketing</t>
  </si>
  <si>
    <t>Marketing Specialist</t>
  </si>
  <si>
    <t>Permata</t>
  </si>
  <si>
    <t>7788990011</t>
  </si>
  <si>
    <t>maya.putri@example.com</t>
  </si>
  <si>
    <t>081234567806</t>
  </si>
  <si>
    <t>Jl. Flamboyan No. 11, Yogyakarta</t>
  </si>
  <si>
    <t>Asumsi, Referensi, PTKP, dan Tabel TER</t>
  </si>
  <si>
    <t>Asumsi Utama</t>
  </si>
  <si>
    <t>Tabel PTKP</t>
  </si>
  <si>
    <t>TER A (TK/0, TK/1, K/0)</t>
  </si>
  <si>
    <t>TER B (TK/2, TK/3, K/1, K/2)</t>
  </si>
  <si>
    <t>TER C (K/3)</t>
  </si>
  <si>
    <t>Tarif Progresif Pasal 17</t>
  </si>
  <si>
    <t>Tahun model</t>
  </si>
  <si>
    <t>Editable</t>
  </si>
  <si>
    <t>Kode PTKP</t>
  </si>
  <si>
    <t>PTKP Tahunan</t>
  </si>
  <si>
    <t>Kategori TER</t>
  </si>
  <si>
    <t>Lower Bound Bruto</t>
  </si>
  <si>
    <t>Rate</t>
  </si>
  <si>
    <t>Lapisan Bawah</t>
  </si>
  <si>
    <t>Lapisan Atas</t>
  </si>
  <si>
    <t>Tarif</t>
  </si>
  <si>
    <t>Biaya jabatan rate</t>
  </si>
  <si>
    <t>5%</t>
  </si>
  <si>
    <t>Biaya jabatan max/bulan</t>
  </si>
  <si>
    <t>Rp500.000</t>
  </si>
  <si>
    <t>Biaya jabatan max/tahun</t>
  </si>
  <si>
    <t>Rp6.000.000</t>
  </si>
  <si>
    <t>BPJS Kesehatan cap basis</t>
  </si>
  <si>
    <t>PPU</t>
  </si>
  <si>
    <t>TK/3</t>
  </si>
  <si>
    <t>BPJS Kesehatan karyawan</t>
  </si>
  <si>
    <t>1%</t>
  </si>
  <si>
    <t>Tidak terbatas</t>
  </si>
  <si>
    <t>BPJS Kesehatan perusahaan</t>
  </si>
  <si>
    <t>4%</t>
  </si>
  <si>
    <t>JHT karyawan</t>
  </si>
  <si>
    <t>2%</t>
  </si>
  <si>
    <t>K/2</t>
  </si>
  <si>
    <t>JP cap basis</t>
  </si>
  <si>
    <t>Editable bila ada update</t>
  </si>
  <si>
    <t>JP karyawan</t>
  </si>
  <si>
    <t>JHT perusahaan</t>
  </si>
  <si>
    <t>3,7%</t>
  </si>
  <si>
    <t>JP perusahaan</t>
  </si>
  <si>
    <t>JKM perusahaan</t>
  </si>
  <si>
    <t>0,3%</t>
  </si>
  <si>
    <t>Payroll Detail Bulanan</t>
  </si>
  <si>
    <t>Tahun</t>
  </si>
  <si>
    <t>Bulan</t>
  </si>
  <si>
    <t>Periode</t>
  </si>
  <si>
    <t>TER</t>
  </si>
  <si>
    <t>Aktif</t>
  </si>
  <si>
    <t>Tunj Tetap</t>
  </si>
  <si>
    <t>Tunj Lain Tetap</t>
  </si>
  <si>
    <t>Lembur</t>
  </si>
  <si>
    <t>Bonus</t>
  </si>
  <si>
    <t>THR</t>
  </si>
  <si>
    <t>Reimburse Non Pajak</t>
  </si>
  <si>
    <t>Potongan Lain</t>
  </si>
  <si>
    <t>Bruto Pajak</t>
  </si>
  <si>
    <t>Bruto Dibayar</t>
  </si>
  <si>
    <t>Dasar BPJS Kes</t>
  </si>
  <si>
    <t>BPJS Kes Karyawan</t>
  </si>
  <si>
    <t>Dasar JHT</t>
  </si>
  <si>
    <t>JHT Karyawan</t>
  </si>
  <si>
    <t>Dasar JP</t>
  </si>
  <si>
    <t>JP Karyawan</t>
  </si>
  <si>
    <t>Biaya Jabatan</t>
  </si>
  <si>
    <t>Neto Bulan</t>
  </si>
  <si>
    <t>Rate TER</t>
  </si>
  <si>
    <t>Bruto Tahun</t>
  </si>
  <si>
    <t>Neto Tahun</t>
  </si>
  <si>
    <t>PKP Tahun</t>
  </si>
  <si>
    <t>PPh21 Setahun</t>
  </si>
  <si>
    <t>PPh21 Masa</t>
  </si>
  <si>
    <t>BPJS Kes Perusahaan</t>
  </si>
  <si>
    <t>JHT Perusahaan</t>
  </si>
  <si>
    <t>JP Perusahaan</t>
  </si>
  <si>
    <t>JKK Perusahaan</t>
  </si>
  <si>
    <t>JKM Perusahaan</t>
  </si>
  <si>
    <t>Total Beban Perusahaan</t>
  </si>
  <si>
    <t>Take Home Pay</t>
  </si>
  <si>
    <t>Data Karyawan</t>
  </si>
  <si>
    <t>Data Payroll</t>
  </si>
  <si>
    <t>Tunjangan Lain</t>
  </si>
  <si>
    <t>Bonus + THR</t>
  </si>
  <si>
    <t>Detail Pajak</t>
  </si>
  <si>
    <t>Iuran Perusahaan</t>
  </si>
  <si>
    <t>JHT</t>
  </si>
  <si>
    <t>Bruto Pajak Bulan</t>
  </si>
  <si>
    <t>JP</t>
  </si>
  <si>
    <t>JKK</t>
  </si>
  <si>
    <t>JKM</t>
  </si>
  <si>
    <t>Ringkasan Slip</t>
  </si>
  <si>
    <t>Pendapatan</t>
  </si>
  <si>
    <t>Potongan</t>
  </si>
  <si>
    <t>PPh 21</t>
  </si>
  <si>
    <t>Bonus / THR</t>
  </si>
  <si>
    <t>Reimburse</t>
  </si>
  <si>
    <t>Total Pendapatan</t>
  </si>
  <si>
    <t>Total Potongan</t>
  </si>
  <si>
    <t>PT HashMicro Solusi Indonesia
SLIP GAJI KARYAWAN FULL TIME</t>
  </si>
  <si>
    <t>Template ini hanya untuk administrasi internal. Pastikan review aturan pajak dan BPJS terbaru sebelum dipakai untuk operasional.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</si>
</sst>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yy"/>
    <numFmt numFmtId="165" formatCode="&quot;Rp &quot;#,##0;[Red]&quot;(Rp &quot;#,##0\);\-"/>
    <numFmt numFmtId="166" formatCode="mmm\ yyyy"/>
    <numFmt numFmtId="167" formatCode="mmmm\ yyyy"/>
  </numFmts>
  <fonts count="9" x14ac:knownFonts="1">
    <font>
      <sz val="11"/>
      <color theme="1"/>
      <name val="Calibri"/>
      <family val="2"/>
      <charset val="1"/>
    </font>
    <font>
      <b/>
      <sz val="14"/>
      <color rgb="FFFFFFFF"/>
      <name val="Cambria"/>
      <charset val="1"/>
    </font>
    <font>
      <b/>
      <sz val="11"/>
      <name val="Cambria"/>
      <charset val="1"/>
    </font>
    <font>
      <b/>
      <sz val="11"/>
      <color rgb="FFFFFFFF"/>
      <name val="Cambria"/>
      <charset val="1"/>
    </font>
    <font>
      <sz val="11"/>
      <color rgb="FF0000FF"/>
      <name val="Cambria"/>
      <charset val="1"/>
    </font>
    <font>
      <sz val="10"/>
      <name val="Arial"/>
      <family val="2"/>
    </font>
    <font>
      <b/>
      <sz val="16"/>
      <color rgb="FFFFFFFF"/>
      <name val="Cambria"/>
      <charset val="1"/>
    </font>
    <font>
      <b/>
      <sz val="13"/>
      <name val="Cambria"/>
      <charset val="1"/>
    </font>
    <font>
      <i/>
      <sz val="9"/>
      <color rgb="FF666666"/>
      <name val="Cambria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2F3"/>
        <bgColor rgb="FFE2F0D9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AF4FF"/>
      </patternFill>
    </fill>
    <fill>
      <patternFill patternType="solid">
        <fgColor rgb="FFEAF4FF"/>
        <bgColor rgb="FFF2F2F2"/>
      </patternFill>
    </fill>
    <fill>
      <patternFill patternType="solid">
        <fgColor rgb="FFE2F0D9"/>
        <bgColor rgb="FFF2F2F2"/>
      </patternFill>
    </fill>
    <fill>
      <patternFill patternType="solid">
        <fgColor rgb="FFFF0000"/>
        <bgColor rgb="FF003366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0" fontId="2" fillId="0" borderId="1" xfId="0" applyFont="1" applyBorder="1"/>
    <xf numFmtId="0" fontId="0" fillId="4" borderId="1" xfId="0" applyFill="1" applyBorder="1"/>
    <xf numFmtId="0" fontId="0" fillId="0" borderId="1" xfId="0" applyBorder="1"/>
    <xf numFmtId="0" fontId="3" fillId="2" borderId="1" xfId="0" applyFont="1" applyFill="1" applyBorder="1"/>
    <xf numFmtId="10" fontId="0" fillId="4" borderId="1" xfId="0" applyNumberFormat="1" applyFill="1" applyBorder="1"/>
    <xf numFmtId="165" fontId="0" fillId="0" borderId="1" xfId="0" applyNumberFormat="1" applyBorder="1"/>
    <xf numFmtId="10" fontId="0" fillId="0" borderId="1" xfId="0" applyNumberFormat="1" applyBorder="1"/>
    <xf numFmtId="165" fontId="0" fillId="4" borderId="1" xfId="0" applyNumberFormat="1" applyFill="1" applyBorder="1"/>
    <xf numFmtId="0" fontId="4" fillId="5" borderId="1" xfId="0" applyFont="1" applyFill="1" applyBorder="1"/>
    <xf numFmtId="166" fontId="0" fillId="0" borderId="1" xfId="0" applyNumberFormat="1" applyBorder="1"/>
    <xf numFmtId="164" fontId="0" fillId="0" borderId="1" xfId="0" applyNumberFormat="1" applyBorder="1"/>
    <xf numFmtId="165" fontId="4" fillId="6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0" fontId="0" fillId="6" borderId="1" xfId="0" applyFill="1" applyBorder="1"/>
    <xf numFmtId="167" fontId="0" fillId="6" borderId="1" xfId="0" applyNumberFormat="1" applyFill="1" applyBorder="1"/>
    <xf numFmtId="49" fontId="0" fillId="6" borderId="1" xfId="0" applyNumberFormat="1" applyFill="1" applyBorder="1"/>
    <xf numFmtId="165" fontId="0" fillId="6" borderId="1" xfId="0" applyNumberFormat="1" applyFill="1" applyBorder="1"/>
    <xf numFmtId="164" fontId="0" fillId="6" borderId="1" xfId="0" applyNumberFormat="1" applyFill="1" applyBorder="1"/>
    <xf numFmtId="10" fontId="0" fillId="6" borderId="1" xfId="0" applyNumberFormat="1" applyFill="1" applyBorder="1"/>
    <xf numFmtId="0" fontId="2" fillId="3" borderId="1" xfId="0" applyFont="1" applyFill="1" applyBorder="1"/>
    <xf numFmtId="0" fontId="2" fillId="7" borderId="1" xfId="0" applyFont="1" applyFill="1" applyBorder="1"/>
    <xf numFmtId="165" fontId="7" fillId="7" borderId="1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8" fillId="0" borderId="0" xfId="0" applyFont="1" applyAlignment="1">
      <alignment wrapText="1"/>
    </xf>
    <xf numFmtId="0" fontId="6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EAF4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327661</xdr:colOff>
      <xdr:row>0</xdr:row>
      <xdr:rowOff>30481</xdr:rowOff>
    </xdr:from>
    <xdr:to>
      <xdr:col>0</xdr:col>
      <xdr:colOff>937260</xdr:colOff>
      <xdr:row>1</xdr:row>
      <xdr:rowOff>289560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0B4412-2D31-F36D-1B16-85DF87184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1" y="30481"/>
          <a:ext cx="609599" cy="609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zoomScaleNormal="100" workbookViewId="0">
      <selection sqref="A1:H2"/>
    </sheetView>
  </sheetViews>
  <sheetFormatPr defaultColWidth="8.6640625" defaultRowHeight="15" customHeight="1" x14ac:dyDescent="0.3"/>
  <cols>
    <col min="1" max="1" width="5" customWidth="1"/>
    <col min="2" max="2" width="105" customWidth="1"/>
    <col min="3" max="8" width="14" customWidth="1"/>
  </cols>
  <sheetData>
    <row r="1" spans="1:8" x14ac:dyDescent="0.3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3">
      <c r="A2" s="32"/>
      <c r="B2" s="32"/>
      <c r="C2" s="32"/>
      <c r="D2" s="32"/>
      <c r="E2" s="32"/>
      <c r="F2" s="32"/>
      <c r="G2" s="32"/>
      <c r="H2" s="32"/>
    </row>
    <row r="4" spans="1:8" x14ac:dyDescent="0.3">
      <c r="A4" s="2">
        <v>1</v>
      </c>
      <c r="B4" s="3" t="s">
        <v>1</v>
      </c>
    </row>
    <row r="6" spans="1:8" x14ac:dyDescent="0.3">
      <c r="A6" s="2">
        <v>2</v>
      </c>
      <c r="B6" s="3" t="s">
        <v>2</v>
      </c>
    </row>
    <row r="8" spans="1:8" x14ac:dyDescent="0.3">
      <c r="A8" s="2">
        <v>3</v>
      </c>
      <c r="B8" s="3" t="s">
        <v>3</v>
      </c>
    </row>
    <row r="10" spans="1:8" x14ac:dyDescent="0.3">
      <c r="A10" s="2">
        <v>4</v>
      </c>
      <c r="B10" s="3" t="s">
        <v>4</v>
      </c>
    </row>
    <row r="12" spans="1:8" x14ac:dyDescent="0.3">
      <c r="A12" s="2">
        <v>5</v>
      </c>
      <c r="B12" s="3" t="s">
        <v>5</v>
      </c>
    </row>
    <row r="14" spans="1:8" x14ac:dyDescent="0.3">
      <c r="A14" s="2">
        <v>6</v>
      </c>
      <c r="B14" s="3" t="s">
        <v>6</v>
      </c>
    </row>
    <row r="16" spans="1:8" x14ac:dyDescent="0.3">
      <c r="A16" s="2">
        <v>7</v>
      </c>
      <c r="B16" s="3" t="s">
        <v>7</v>
      </c>
    </row>
  </sheetData>
  <mergeCells count="1">
    <mergeCell ref="A1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"/>
  <sheetViews>
    <sheetView zoomScaleNormal="100" workbookViewId="0">
      <pane ySplit="3" topLeftCell="A4" activePane="bottomLeft" state="frozen"/>
      <selection pane="bottomLeft"/>
    </sheetView>
  </sheetViews>
  <sheetFormatPr defaultColWidth="8.6640625" defaultRowHeight="15" customHeight="1" x14ac:dyDescent="0.3"/>
  <cols>
    <col min="1" max="1" width="10" customWidth="1"/>
    <col min="2" max="2" width="20" customWidth="1"/>
    <col min="3" max="4" width="22" customWidth="1"/>
    <col min="5" max="5" width="8" customWidth="1"/>
    <col min="6" max="7" width="12" customWidth="1"/>
    <col min="8" max="8" width="10" customWidth="1"/>
    <col min="9" max="9" width="12" customWidth="1"/>
    <col min="10" max="10" width="13" customWidth="1"/>
    <col min="11" max="11" width="16" customWidth="1"/>
    <col min="12" max="12" width="20" customWidth="1"/>
    <col min="13" max="14" width="14" customWidth="1"/>
    <col min="15" max="15" width="18" customWidth="1"/>
    <col min="16" max="16" width="25" customWidth="1"/>
    <col min="17" max="17" width="16" customWidth="1"/>
    <col min="18" max="18" width="30" customWidth="1"/>
    <col min="19" max="20" width="16" customWidth="1"/>
    <col min="21" max="21" width="18" customWidth="1"/>
    <col min="22" max="23" width="10" customWidth="1"/>
    <col min="24" max="24" width="12" customWidth="1"/>
    <col min="25" max="25" width="18" customWidth="1"/>
  </cols>
  <sheetData>
    <row r="1" spans="1:25" ht="17.399999999999999" x14ac:dyDescent="0.3">
      <c r="A1" s="33" t="s">
        <v>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3" spans="1:25" ht="28.2" x14ac:dyDescent="0.3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  <c r="L3" s="4" t="s">
        <v>20</v>
      </c>
      <c r="M3" s="4" t="s">
        <v>21</v>
      </c>
      <c r="N3" s="4" t="s">
        <v>22</v>
      </c>
      <c r="O3" s="4" t="s">
        <v>23</v>
      </c>
      <c r="P3" s="4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4" t="s">
        <v>31</v>
      </c>
      <c r="X3" s="4" t="s">
        <v>32</v>
      </c>
      <c r="Y3" s="4" t="s">
        <v>33</v>
      </c>
    </row>
    <row r="4" spans="1:25" ht="14.4" x14ac:dyDescent="0.3">
      <c r="A4" s="5" t="s">
        <v>34</v>
      </c>
      <c r="B4" s="6" t="s">
        <v>35</v>
      </c>
      <c r="C4" s="5" t="s">
        <v>36</v>
      </c>
      <c r="D4" s="5" t="s">
        <v>37</v>
      </c>
      <c r="E4" s="5" t="s">
        <v>38</v>
      </c>
      <c r="F4" s="5" t="s">
        <v>39</v>
      </c>
      <c r="G4" s="5">
        <v>0</v>
      </c>
      <c r="H4" s="5" t="s">
        <v>40</v>
      </c>
      <c r="I4" s="5" t="s">
        <v>41</v>
      </c>
      <c r="J4" s="7">
        <v>45301</v>
      </c>
      <c r="K4" s="5" t="s">
        <v>42</v>
      </c>
      <c r="L4" s="5" t="s">
        <v>43</v>
      </c>
      <c r="M4" s="5" t="s">
        <v>44</v>
      </c>
      <c r="N4" s="5" t="s">
        <v>45</v>
      </c>
      <c r="O4" s="6" t="s">
        <v>46</v>
      </c>
      <c r="P4" s="5" t="s">
        <v>47</v>
      </c>
      <c r="Q4" s="6" t="s">
        <v>48</v>
      </c>
      <c r="R4" s="5" t="s">
        <v>49</v>
      </c>
      <c r="S4" s="8">
        <v>8000000</v>
      </c>
      <c r="T4" s="8">
        <v>1000000</v>
      </c>
      <c r="U4" s="8">
        <v>500000</v>
      </c>
      <c r="V4" s="5" t="s">
        <v>50</v>
      </c>
      <c r="W4" s="5" t="s">
        <v>50</v>
      </c>
      <c r="X4" s="9">
        <v>2.3999999999999998E-3</v>
      </c>
      <c r="Y4" s="5" t="s">
        <v>51</v>
      </c>
    </row>
    <row r="5" spans="1:25" ht="14.4" x14ac:dyDescent="0.3">
      <c r="A5" s="5" t="s">
        <v>52</v>
      </c>
      <c r="B5" s="6" t="s">
        <v>53</v>
      </c>
      <c r="C5" s="5" t="s">
        <v>54</v>
      </c>
      <c r="D5" s="5" t="s">
        <v>55</v>
      </c>
      <c r="E5" s="5" t="s">
        <v>56</v>
      </c>
      <c r="F5" s="5" t="s">
        <v>57</v>
      </c>
      <c r="G5" s="5">
        <v>1</v>
      </c>
      <c r="H5" s="5" t="s">
        <v>58</v>
      </c>
      <c r="I5" s="5" t="s">
        <v>59</v>
      </c>
      <c r="J5" s="7">
        <v>45108</v>
      </c>
      <c r="K5" s="5" t="s">
        <v>60</v>
      </c>
      <c r="L5" s="5" t="s">
        <v>61</v>
      </c>
      <c r="M5" s="5" t="s">
        <v>44</v>
      </c>
      <c r="N5" s="5" t="s">
        <v>62</v>
      </c>
      <c r="O5" s="6" t="s">
        <v>63</v>
      </c>
      <c r="P5" s="5" t="s">
        <v>64</v>
      </c>
      <c r="Q5" s="6" t="s">
        <v>65</v>
      </c>
      <c r="R5" s="5" t="s">
        <v>66</v>
      </c>
      <c r="S5" s="8">
        <v>10500000</v>
      </c>
      <c r="T5" s="8">
        <v>1500000</v>
      </c>
      <c r="U5" s="8">
        <v>500000</v>
      </c>
      <c r="V5" s="5" t="s">
        <v>50</v>
      </c>
      <c r="W5" s="5" t="s">
        <v>50</v>
      </c>
      <c r="X5" s="9">
        <v>2.3999999999999998E-3</v>
      </c>
      <c r="Y5" s="5" t="s">
        <v>51</v>
      </c>
    </row>
    <row r="6" spans="1:25" ht="14.4" x14ac:dyDescent="0.3">
      <c r="A6" s="5" t="s">
        <v>67</v>
      </c>
      <c r="B6" s="6" t="s">
        <v>68</v>
      </c>
      <c r="C6" s="5" t="s">
        <v>69</v>
      </c>
      <c r="D6" s="5" t="s">
        <v>70</v>
      </c>
      <c r="E6" s="5" t="s">
        <v>38</v>
      </c>
      <c r="F6" s="5" t="s">
        <v>57</v>
      </c>
      <c r="G6" s="5">
        <v>3</v>
      </c>
      <c r="H6" s="5" t="s">
        <v>71</v>
      </c>
      <c r="I6" s="5" t="s">
        <v>72</v>
      </c>
      <c r="J6" s="7">
        <v>44697</v>
      </c>
      <c r="K6" s="5" t="s">
        <v>73</v>
      </c>
      <c r="L6" s="5" t="s">
        <v>74</v>
      </c>
      <c r="M6" s="5" t="s">
        <v>44</v>
      </c>
      <c r="N6" s="5" t="s">
        <v>75</v>
      </c>
      <c r="O6" s="6" t="s">
        <v>76</v>
      </c>
      <c r="P6" s="5" t="s">
        <v>77</v>
      </c>
      <c r="Q6" s="6" t="s">
        <v>78</v>
      </c>
      <c r="R6" s="5" t="s">
        <v>79</v>
      </c>
      <c r="S6" s="8">
        <v>18000000</v>
      </c>
      <c r="T6" s="8">
        <v>3000000</v>
      </c>
      <c r="U6" s="8">
        <v>750000</v>
      </c>
      <c r="V6" s="5" t="s">
        <v>50</v>
      </c>
      <c r="W6" s="5" t="s">
        <v>50</v>
      </c>
      <c r="X6" s="9">
        <v>5.4000000000000003E-3</v>
      </c>
      <c r="Y6" s="5" t="s">
        <v>51</v>
      </c>
    </row>
    <row r="7" spans="1:25" ht="14.4" x14ac:dyDescent="0.3">
      <c r="A7" s="5" t="s">
        <v>80</v>
      </c>
      <c r="B7" s="6" t="s">
        <v>81</v>
      </c>
      <c r="C7" s="5" t="s">
        <v>82</v>
      </c>
      <c r="D7" s="5" t="s">
        <v>83</v>
      </c>
      <c r="E7" s="5" t="s">
        <v>56</v>
      </c>
      <c r="F7" s="5" t="s">
        <v>39</v>
      </c>
      <c r="G7" s="5">
        <v>2</v>
      </c>
      <c r="H7" s="5" t="s">
        <v>84</v>
      </c>
      <c r="I7" s="5" t="s">
        <v>59</v>
      </c>
      <c r="J7" s="7">
        <v>45689</v>
      </c>
      <c r="K7" s="5" t="s">
        <v>85</v>
      </c>
      <c r="L7" s="5" t="s">
        <v>86</v>
      </c>
      <c r="M7" s="5" t="s">
        <v>44</v>
      </c>
      <c r="N7" s="5" t="s">
        <v>87</v>
      </c>
      <c r="O7" s="6" t="s">
        <v>88</v>
      </c>
      <c r="P7" s="5" t="s">
        <v>89</v>
      </c>
      <c r="Q7" s="6" t="s">
        <v>90</v>
      </c>
      <c r="R7" s="5" t="s">
        <v>91</v>
      </c>
      <c r="S7" s="8">
        <v>14000000</v>
      </c>
      <c r="T7" s="8">
        <v>2000000</v>
      </c>
      <c r="U7" s="8">
        <v>650000</v>
      </c>
      <c r="V7" s="5" t="s">
        <v>50</v>
      </c>
      <c r="W7" s="5" t="s">
        <v>50</v>
      </c>
      <c r="X7" s="9">
        <v>2.3999999999999998E-3</v>
      </c>
      <c r="Y7" s="5" t="s">
        <v>51</v>
      </c>
    </row>
    <row r="8" spans="1:25" ht="14.4" x14ac:dyDescent="0.3">
      <c r="A8" s="5" t="s">
        <v>92</v>
      </c>
      <c r="B8" s="6" t="s">
        <v>93</v>
      </c>
      <c r="C8" s="5" t="s">
        <v>94</v>
      </c>
      <c r="D8" s="5" t="s">
        <v>95</v>
      </c>
      <c r="E8" s="5" t="s">
        <v>38</v>
      </c>
      <c r="F8" s="5" t="s">
        <v>57</v>
      </c>
      <c r="G8" s="5">
        <v>0</v>
      </c>
      <c r="H8" s="5" t="s">
        <v>96</v>
      </c>
      <c r="I8" s="5" t="s">
        <v>41</v>
      </c>
      <c r="J8" s="7">
        <v>44508</v>
      </c>
      <c r="K8" s="5" t="s">
        <v>97</v>
      </c>
      <c r="L8" s="5" t="s">
        <v>98</v>
      </c>
      <c r="M8" s="5" t="s">
        <v>44</v>
      </c>
      <c r="N8" s="5" t="s">
        <v>99</v>
      </c>
      <c r="O8" s="6" t="s">
        <v>100</v>
      </c>
      <c r="P8" s="5" t="s">
        <v>101</v>
      </c>
      <c r="Q8" s="6" t="s">
        <v>102</v>
      </c>
      <c r="R8" s="5" t="s">
        <v>103</v>
      </c>
      <c r="S8" s="8">
        <v>7500000</v>
      </c>
      <c r="T8" s="8">
        <v>1000000</v>
      </c>
      <c r="U8" s="8">
        <v>400000</v>
      </c>
      <c r="V8" s="5" t="s">
        <v>50</v>
      </c>
      <c r="W8" s="5" t="s">
        <v>50</v>
      </c>
      <c r="X8" s="9">
        <v>5.4000000000000003E-3</v>
      </c>
      <c r="Y8" s="5" t="s">
        <v>51</v>
      </c>
    </row>
    <row r="9" spans="1:25" ht="14.4" x14ac:dyDescent="0.3">
      <c r="A9" s="5" t="s">
        <v>104</v>
      </c>
      <c r="B9" s="6" t="s">
        <v>105</v>
      </c>
      <c r="C9" s="5" t="s">
        <v>106</v>
      </c>
      <c r="D9" s="5" t="s">
        <v>107</v>
      </c>
      <c r="E9" s="5" t="s">
        <v>56</v>
      </c>
      <c r="F9" s="5" t="s">
        <v>39</v>
      </c>
      <c r="G9" s="5">
        <v>1</v>
      </c>
      <c r="H9" s="5" t="s">
        <v>108</v>
      </c>
      <c r="I9" s="5" t="s">
        <v>41</v>
      </c>
      <c r="J9" s="7">
        <v>45537</v>
      </c>
      <c r="K9" s="5" t="s">
        <v>109</v>
      </c>
      <c r="L9" s="5" t="s">
        <v>110</v>
      </c>
      <c r="M9" s="5" t="s">
        <v>44</v>
      </c>
      <c r="N9" s="5" t="s">
        <v>111</v>
      </c>
      <c r="O9" s="6" t="s">
        <v>112</v>
      </c>
      <c r="P9" s="5" t="s">
        <v>113</v>
      </c>
      <c r="Q9" s="6" t="s">
        <v>114</v>
      </c>
      <c r="R9" s="5" t="s">
        <v>115</v>
      </c>
      <c r="S9" s="8">
        <v>12500000</v>
      </c>
      <c r="T9" s="8">
        <v>2000000</v>
      </c>
      <c r="U9" s="8">
        <v>600000</v>
      </c>
      <c r="V9" s="5" t="s">
        <v>50</v>
      </c>
      <c r="W9" s="5" t="s">
        <v>50</v>
      </c>
      <c r="X9" s="9">
        <v>2.3999999999999998E-3</v>
      </c>
      <c r="Y9" s="5" t="s">
        <v>51</v>
      </c>
    </row>
  </sheetData>
  <autoFilter ref="A3:Y9" xr:uid="{00000000-0009-0000-0000-000001000000}"/>
  <mergeCells count="1">
    <mergeCell ref="A1:Y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8"/>
  <sheetViews>
    <sheetView zoomScaleNormal="100" workbookViewId="0"/>
  </sheetViews>
  <sheetFormatPr defaultColWidth="8.6640625" defaultRowHeight="15" customHeight="1" x14ac:dyDescent="0.3"/>
  <cols>
    <col min="1" max="1" width="28" customWidth="1"/>
    <col min="2" max="2" width="16" customWidth="1"/>
    <col min="3" max="3" width="24" customWidth="1"/>
    <col min="5" max="5" width="11" customWidth="1"/>
    <col min="6" max="6" width="16" customWidth="1"/>
    <col min="7" max="7" width="12" customWidth="1"/>
    <col min="10" max="10" width="17" customWidth="1"/>
    <col min="11" max="11" width="10" customWidth="1"/>
    <col min="13" max="13" width="17" customWidth="1"/>
    <col min="14" max="14" width="10" customWidth="1"/>
    <col min="16" max="16" width="17" customWidth="1"/>
    <col min="17" max="17" width="10" customWidth="1"/>
    <col min="19" max="19" width="17" customWidth="1"/>
    <col min="20" max="20" width="18" customWidth="1"/>
    <col min="21" max="21" width="10" customWidth="1"/>
  </cols>
  <sheetData>
    <row r="1" spans="1:21" ht="17.399999999999999" x14ac:dyDescent="0.3">
      <c r="A1" s="33" t="s">
        <v>116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3" spans="1:21" ht="14.4" x14ac:dyDescent="0.3">
      <c r="A3" s="1" t="s">
        <v>117</v>
      </c>
      <c r="E3" s="1" t="s">
        <v>118</v>
      </c>
      <c r="J3" s="1" t="s">
        <v>119</v>
      </c>
      <c r="M3" s="1" t="s">
        <v>120</v>
      </c>
      <c r="P3" s="1" t="s">
        <v>121</v>
      </c>
      <c r="S3" s="1" t="s">
        <v>122</v>
      </c>
    </row>
    <row r="4" spans="1:21" ht="14.4" x14ac:dyDescent="0.3">
      <c r="A4" s="10" t="s">
        <v>123</v>
      </c>
      <c r="B4" s="11">
        <v>2026</v>
      </c>
      <c r="C4" s="12" t="s">
        <v>124</v>
      </c>
      <c r="E4" s="13" t="s">
        <v>125</v>
      </c>
      <c r="F4" s="13" t="s">
        <v>126</v>
      </c>
      <c r="G4" s="13" t="s">
        <v>127</v>
      </c>
      <c r="J4" s="13" t="s">
        <v>128</v>
      </c>
      <c r="K4" s="13" t="s">
        <v>129</v>
      </c>
      <c r="M4" s="13" t="s">
        <v>128</v>
      </c>
      <c r="N4" s="13" t="s">
        <v>129</v>
      </c>
      <c r="P4" s="13" t="s">
        <v>128</v>
      </c>
      <c r="Q4" s="13" t="s">
        <v>129</v>
      </c>
      <c r="S4" s="13" t="s">
        <v>130</v>
      </c>
      <c r="T4" s="13" t="s">
        <v>131</v>
      </c>
      <c r="U4" s="13" t="s">
        <v>132</v>
      </c>
    </row>
    <row r="5" spans="1:21" ht="14.4" x14ac:dyDescent="0.3">
      <c r="A5" s="10" t="s">
        <v>133</v>
      </c>
      <c r="B5" s="14">
        <v>0.05</v>
      </c>
      <c r="C5" s="12" t="s">
        <v>134</v>
      </c>
      <c r="E5" s="12" t="s">
        <v>40</v>
      </c>
      <c r="F5" s="15">
        <v>54000000</v>
      </c>
      <c r="G5" s="12" t="s">
        <v>41</v>
      </c>
      <c r="J5" s="15">
        <v>0</v>
      </c>
      <c r="K5" s="16">
        <v>0</v>
      </c>
      <c r="M5" s="15">
        <v>0</v>
      </c>
      <c r="N5" s="16">
        <v>0</v>
      </c>
      <c r="P5" s="15">
        <v>0</v>
      </c>
      <c r="Q5" s="16">
        <v>0</v>
      </c>
      <c r="S5" s="15">
        <v>0</v>
      </c>
      <c r="T5" s="15">
        <v>60000000</v>
      </c>
      <c r="U5" s="16">
        <v>0.05</v>
      </c>
    </row>
    <row r="6" spans="1:21" ht="14.4" x14ac:dyDescent="0.3">
      <c r="A6" s="10" t="s">
        <v>135</v>
      </c>
      <c r="B6" s="17">
        <v>500000</v>
      </c>
      <c r="C6" s="12" t="s">
        <v>136</v>
      </c>
      <c r="E6" s="12" t="s">
        <v>108</v>
      </c>
      <c r="F6" s="15">
        <v>58500000</v>
      </c>
      <c r="G6" s="12" t="s">
        <v>41</v>
      </c>
      <c r="J6" s="15">
        <v>5400001</v>
      </c>
      <c r="K6" s="16">
        <v>2.5000000000000001E-3</v>
      </c>
      <c r="M6" s="15">
        <v>6200001</v>
      </c>
      <c r="N6" s="16">
        <v>2.5000000000000001E-3</v>
      </c>
      <c r="P6" s="15">
        <v>6600001</v>
      </c>
      <c r="Q6" s="16">
        <v>2.5000000000000001E-3</v>
      </c>
      <c r="S6" s="15">
        <v>60000000</v>
      </c>
      <c r="T6" s="15">
        <v>250000000</v>
      </c>
      <c r="U6" s="16">
        <v>0.15</v>
      </c>
    </row>
    <row r="7" spans="1:21" ht="14.4" x14ac:dyDescent="0.3">
      <c r="A7" s="10" t="s">
        <v>137</v>
      </c>
      <c r="B7" s="17">
        <v>6000000</v>
      </c>
      <c r="C7" s="12" t="s">
        <v>138</v>
      </c>
      <c r="E7" s="12" t="s">
        <v>84</v>
      </c>
      <c r="F7" s="15">
        <v>63000000</v>
      </c>
      <c r="G7" s="12" t="s">
        <v>59</v>
      </c>
      <c r="J7" s="15">
        <v>5650001</v>
      </c>
      <c r="K7" s="16">
        <v>5.0000000000000001E-3</v>
      </c>
      <c r="M7" s="15">
        <v>6500001</v>
      </c>
      <c r="N7" s="16">
        <v>5.0000000000000001E-3</v>
      </c>
      <c r="P7" s="15">
        <v>6950001</v>
      </c>
      <c r="Q7" s="16">
        <v>5.0000000000000001E-3</v>
      </c>
      <c r="S7" s="15">
        <v>250000000</v>
      </c>
      <c r="T7" s="15">
        <v>500000000</v>
      </c>
      <c r="U7" s="16">
        <v>0.25</v>
      </c>
    </row>
    <row r="8" spans="1:21" ht="14.4" x14ac:dyDescent="0.3">
      <c r="A8" s="10" t="s">
        <v>139</v>
      </c>
      <c r="B8" s="17">
        <v>12000000</v>
      </c>
      <c r="C8" s="12" t="s">
        <v>140</v>
      </c>
      <c r="E8" s="12" t="s">
        <v>141</v>
      </c>
      <c r="F8" s="15">
        <v>67500000</v>
      </c>
      <c r="G8" s="12" t="s">
        <v>59</v>
      </c>
      <c r="J8" s="15">
        <v>5950001</v>
      </c>
      <c r="K8" s="16">
        <v>7.4999999999999997E-3</v>
      </c>
      <c r="M8" s="15">
        <v>6850001</v>
      </c>
      <c r="N8" s="16">
        <v>7.4999999999999997E-3</v>
      </c>
      <c r="P8" s="15">
        <v>7350001</v>
      </c>
      <c r="Q8" s="16">
        <v>7.4999999999999997E-3</v>
      </c>
      <c r="S8" s="15">
        <v>500000000</v>
      </c>
      <c r="T8" s="15">
        <v>5000000000</v>
      </c>
      <c r="U8" s="16">
        <v>0.3</v>
      </c>
    </row>
    <row r="9" spans="1:21" ht="14.4" x14ac:dyDescent="0.3">
      <c r="A9" s="10" t="s">
        <v>142</v>
      </c>
      <c r="B9" s="14">
        <v>0.01</v>
      </c>
      <c r="C9" s="12" t="s">
        <v>143</v>
      </c>
      <c r="E9" s="12" t="s">
        <v>96</v>
      </c>
      <c r="F9" s="15">
        <v>58500000</v>
      </c>
      <c r="G9" s="12" t="s">
        <v>41</v>
      </c>
      <c r="J9" s="15">
        <v>6300001</v>
      </c>
      <c r="K9" s="16">
        <v>0.01</v>
      </c>
      <c r="M9" s="15">
        <v>7300001</v>
      </c>
      <c r="N9" s="16">
        <v>0.01</v>
      </c>
      <c r="P9" s="15">
        <v>7800001</v>
      </c>
      <c r="Q9" s="16">
        <v>0.01</v>
      </c>
      <c r="S9" s="15">
        <v>5000000000</v>
      </c>
      <c r="T9" s="12" t="s">
        <v>144</v>
      </c>
      <c r="U9" s="16">
        <v>0.35</v>
      </c>
    </row>
    <row r="10" spans="1:21" ht="14.4" x14ac:dyDescent="0.3">
      <c r="A10" s="10" t="s">
        <v>145</v>
      </c>
      <c r="B10" s="14">
        <v>0.04</v>
      </c>
      <c r="C10" s="12" t="s">
        <v>146</v>
      </c>
      <c r="E10" s="12" t="s">
        <v>58</v>
      </c>
      <c r="F10" s="15">
        <v>63000000</v>
      </c>
      <c r="G10" s="12" t="s">
        <v>59</v>
      </c>
      <c r="J10" s="15">
        <v>6750001</v>
      </c>
      <c r="K10" s="16">
        <v>1.2500000000000001E-2</v>
      </c>
      <c r="M10" s="15">
        <v>9200001</v>
      </c>
      <c r="N10" s="16">
        <v>1.4999999999999999E-2</v>
      </c>
      <c r="P10" s="15">
        <v>8850001</v>
      </c>
      <c r="Q10" s="16">
        <v>1.2500000000000001E-2</v>
      </c>
    </row>
    <row r="11" spans="1:21" ht="14.4" x14ac:dyDescent="0.3">
      <c r="A11" s="10" t="s">
        <v>147</v>
      </c>
      <c r="B11" s="14">
        <v>0.02</v>
      </c>
      <c r="C11" s="12" t="s">
        <v>148</v>
      </c>
      <c r="E11" s="12" t="s">
        <v>149</v>
      </c>
      <c r="F11" s="15">
        <v>67500000</v>
      </c>
      <c r="G11" s="12" t="s">
        <v>59</v>
      </c>
      <c r="J11" s="15">
        <v>7500001</v>
      </c>
      <c r="K11" s="16">
        <v>1.4999999999999999E-2</v>
      </c>
      <c r="M11" s="15">
        <v>10750001</v>
      </c>
      <c r="N11" s="16">
        <v>0.02</v>
      </c>
      <c r="P11" s="15">
        <v>9800001</v>
      </c>
      <c r="Q11" s="16">
        <v>1.4999999999999999E-2</v>
      </c>
    </row>
    <row r="12" spans="1:21" ht="14.4" x14ac:dyDescent="0.3">
      <c r="A12" s="10" t="s">
        <v>150</v>
      </c>
      <c r="B12" s="17">
        <v>10547000</v>
      </c>
      <c r="C12" s="12" t="s">
        <v>151</v>
      </c>
      <c r="E12" s="12" t="s">
        <v>71</v>
      </c>
      <c r="F12" s="15">
        <v>72000000</v>
      </c>
      <c r="G12" s="12" t="s">
        <v>72</v>
      </c>
      <c r="J12" s="15">
        <v>8550001</v>
      </c>
      <c r="K12" s="16">
        <v>1.7500000000000002E-2</v>
      </c>
      <c r="M12" s="15">
        <v>11250001</v>
      </c>
      <c r="N12" s="16">
        <v>2.5000000000000001E-2</v>
      </c>
      <c r="P12" s="15">
        <v>10950001</v>
      </c>
      <c r="Q12" s="16">
        <v>1.7500000000000002E-2</v>
      </c>
    </row>
    <row r="13" spans="1:21" ht="14.4" x14ac:dyDescent="0.3">
      <c r="A13" s="10" t="s">
        <v>152</v>
      </c>
      <c r="B13" s="14">
        <v>0.01</v>
      </c>
      <c r="C13" s="12" t="s">
        <v>143</v>
      </c>
      <c r="J13" s="15">
        <v>9650001</v>
      </c>
      <c r="K13" s="16">
        <v>0.02</v>
      </c>
      <c r="M13" s="15">
        <v>11600001</v>
      </c>
      <c r="N13" s="16">
        <v>0.03</v>
      </c>
      <c r="P13" s="15">
        <v>11200001</v>
      </c>
      <c r="Q13" s="16">
        <v>0.02</v>
      </c>
    </row>
    <row r="14" spans="1:21" ht="14.4" x14ac:dyDescent="0.3">
      <c r="A14" s="10" t="s">
        <v>153</v>
      </c>
      <c r="B14" s="14">
        <v>3.6999999999999998E-2</v>
      </c>
      <c r="C14" s="12" t="s">
        <v>154</v>
      </c>
      <c r="J14" s="15">
        <v>10050001</v>
      </c>
      <c r="K14" s="16">
        <v>2.2499999999999999E-2</v>
      </c>
      <c r="M14" s="15">
        <v>12600001</v>
      </c>
      <c r="N14" s="16">
        <v>0.04</v>
      </c>
      <c r="P14" s="15">
        <v>12050001</v>
      </c>
      <c r="Q14" s="16">
        <v>0.03</v>
      </c>
    </row>
    <row r="15" spans="1:21" ht="14.4" x14ac:dyDescent="0.3">
      <c r="A15" s="10" t="s">
        <v>155</v>
      </c>
      <c r="B15" s="14">
        <v>0.02</v>
      </c>
      <c r="C15" s="12" t="s">
        <v>148</v>
      </c>
      <c r="J15" s="15">
        <v>10350001</v>
      </c>
      <c r="K15" s="16">
        <v>2.5000000000000001E-2</v>
      </c>
      <c r="M15" s="15">
        <v>13600001</v>
      </c>
      <c r="N15" s="16">
        <v>0.05</v>
      </c>
      <c r="P15" s="15">
        <v>12950001</v>
      </c>
      <c r="Q15" s="16">
        <v>0.04</v>
      </c>
    </row>
    <row r="16" spans="1:21" ht="14.4" x14ac:dyDescent="0.3">
      <c r="A16" s="10" t="s">
        <v>156</v>
      </c>
      <c r="B16" s="14">
        <v>3.0000000000000001E-3</v>
      </c>
      <c r="C16" s="12" t="s">
        <v>157</v>
      </c>
      <c r="J16" s="15">
        <v>10700001</v>
      </c>
      <c r="K16" s="16">
        <v>0.03</v>
      </c>
      <c r="M16" s="15">
        <v>14950001</v>
      </c>
      <c r="N16" s="16">
        <v>0.06</v>
      </c>
      <c r="P16" s="15">
        <v>14150001</v>
      </c>
      <c r="Q16" s="16">
        <v>0.05</v>
      </c>
    </row>
    <row r="17" spans="10:17" ht="14.4" x14ac:dyDescent="0.3">
      <c r="J17" s="15">
        <v>11050001</v>
      </c>
      <c r="K17" s="16">
        <v>3.5000000000000003E-2</v>
      </c>
      <c r="M17" s="15">
        <v>16400001</v>
      </c>
      <c r="N17" s="16">
        <v>7.0000000000000007E-2</v>
      </c>
      <c r="P17" s="15">
        <v>15550001</v>
      </c>
      <c r="Q17" s="16">
        <v>0.06</v>
      </c>
    </row>
    <row r="18" spans="10:17" ht="14.4" x14ac:dyDescent="0.3">
      <c r="J18" s="15">
        <v>11600001</v>
      </c>
      <c r="K18" s="16">
        <v>0.04</v>
      </c>
      <c r="M18" s="15">
        <v>18450001</v>
      </c>
      <c r="N18" s="16">
        <v>0.08</v>
      </c>
      <c r="P18" s="15">
        <v>17050001</v>
      </c>
      <c r="Q18" s="16">
        <v>7.0000000000000007E-2</v>
      </c>
    </row>
    <row r="19" spans="10:17" ht="14.4" x14ac:dyDescent="0.3">
      <c r="J19" s="15">
        <v>12500001</v>
      </c>
      <c r="K19" s="16">
        <v>0.05</v>
      </c>
      <c r="M19" s="15">
        <v>21850001</v>
      </c>
      <c r="N19" s="16">
        <v>0.09</v>
      </c>
      <c r="P19" s="15">
        <v>19500001</v>
      </c>
      <c r="Q19" s="16">
        <v>0.08</v>
      </c>
    </row>
    <row r="20" spans="10:17" ht="14.4" x14ac:dyDescent="0.3">
      <c r="J20" s="15">
        <v>13750001</v>
      </c>
      <c r="K20" s="16">
        <v>0.06</v>
      </c>
      <c r="M20" s="15">
        <v>26000001</v>
      </c>
      <c r="N20" s="16">
        <v>0.1</v>
      </c>
      <c r="P20" s="15">
        <v>22700001</v>
      </c>
      <c r="Q20" s="16">
        <v>0.09</v>
      </c>
    </row>
    <row r="21" spans="10:17" ht="14.4" x14ac:dyDescent="0.3">
      <c r="J21" s="15">
        <v>15100001</v>
      </c>
      <c r="K21" s="16">
        <v>7.0000000000000007E-2</v>
      </c>
      <c r="M21" s="15">
        <v>27700001</v>
      </c>
      <c r="N21" s="16">
        <v>0.11</v>
      </c>
      <c r="P21" s="15">
        <v>26600001</v>
      </c>
      <c r="Q21" s="16">
        <v>0.1</v>
      </c>
    </row>
    <row r="22" spans="10:17" ht="14.4" x14ac:dyDescent="0.3">
      <c r="J22" s="15">
        <v>16950001</v>
      </c>
      <c r="K22" s="16">
        <v>0.08</v>
      </c>
      <c r="M22" s="15">
        <v>29350001</v>
      </c>
      <c r="N22" s="16">
        <v>0.12</v>
      </c>
      <c r="P22" s="15">
        <v>28100001</v>
      </c>
      <c r="Q22" s="16">
        <v>0.11</v>
      </c>
    </row>
    <row r="23" spans="10:17" ht="14.4" x14ac:dyDescent="0.3">
      <c r="J23" s="15">
        <v>19750001</v>
      </c>
      <c r="K23" s="16">
        <v>0.09</v>
      </c>
      <c r="M23" s="15">
        <v>31450001</v>
      </c>
      <c r="N23" s="16">
        <v>0.13</v>
      </c>
      <c r="P23" s="15">
        <v>30100001</v>
      </c>
      <c r="Q23" s="16">
        <v>0.12</v>
      </c>
    </row>
    <row r="24" spans="10:17" ht="14.4" x14ac:dyDescent="0.3">
      <c r="J24" s="15">
        <v>24150001</v>
      </c>
      <c r="K24" s="16">
        <v>0.1</v>
      </c>
      <c r="M24" s="15">
        <v>33950001</v>
      </c>
      <c r="N24" s="16">
        <v>0.14000000000000001</v>
      </c>
      <c r="P24" s="15">
        <v>32600001</v>
      </c>
      <c r="Q24" s="16">
        <v>0.13</v>
      </c>
    </row>
    <row r="25" spans="10:17" ht="14.4" x14ac:dyDescent="0.3">
      <c r="J25" s="15">
        <v>26450001</v>
      </c>
      <c r="K25" s="16">
        <v>0.11</v>
      </c>
      <c r="M25" s="15">
        <v>37100001</v>
      </c>
      <c r="N25" s="16">
        <v>0.15</v>
      </c>
      <c r="P25" s="15">
        <v>35400001</v>
      </c>
      <c r="Q25" s="16">
        <v>0.14000000000000001</v>
      </c>
    </row>
    <row r="26" spans="10:17" ht="14.4" x14ac:dyDescent="0.3">
      <c r="J26" s="15">
        <v>28000001</v>
      </c>
      <c r="K26" s="16">
        <v>0.12</v>
      </c>
      <c r="M26" s="15">
        <v>41100001</v>
      </c>
      <c r="N26" s="16">
        <v>0.16</v>
      </c>
      <c r="P26" s="15">
        <v>38900001</v>
      </c>
      <c r="Q26" s="16">
        <v>0.15</v>
      </c>
    </row>
    <row r="27" spans="10:17" ht="14.4" x14ac:dyDescent="0.3">
      <c r="J27" s="15">
        <v>30050001</v>
      </c>
      <c r="K27" s="16">
        <v>0.13</v>
      </c>
      <c r="M27" s="15">
        <v>45800001</v>
      </c>
      <c r="N27" s="16">
        <v>0.17</v>
      </c>
      <c r="P27" s="15">
        <v>43000001</v>
      </c>
      <c r="Q27" s="16">
        <v>0.16</v>
      </c>
    </row>
    <row r="28" spans="10:17" ht="14.4" x14ac:dyDescent="0.3">
      <c r="J28" s="15">
        <v>32400001</v>
      </c>
      <c r="K28" s="16">
        <v>0.14000000000000001</v>
      </c>
      <c r="M28" s="15">
        <v>49500001</v>
      </c>
      <c r="N28" s="16">
        <v>0.18</v>
      </c>
      <c r="P28" s="15">
        <v>47400001</v>
      </c>
      <c r="Q28" s="16">
        <v>0.17</v>
      </c>
    </row>
    <row r="29" spans="10:17" ht="14.4" x14ac:dyDescent="0.3">
      <c r="J29" s="15">
        <v>35400001</v>
      </c>
      <c r="K29" s="16">
        <v>0.15</v>
      </c>
      <c r="M29" s="15">
        <v>53800001</v>
      </c>
      <c r="N29" s="16">
        <v>0.19</v>
      </c>
      <c r="P29" s="15">
        <v>51200001</v>
      </c>
      <c r="Q29" s="16">
        <v>0.18</v>
      </c>
    </row>
    <row r="30" spans="10:17" ht="14.4" x14ac:dyDescent="0.3">
      <c r="J30" s="15">
        <v>39100001</v>
      </c>
      <c r="K30" s="16">
        <v>0.16</v>
      </c>
      <c r="M30" s="15">
        <v>58500001</v>
      </c>
      <c r="N30" s="16">
        <v>0.2</v>
      </c>
      <c r="P30" s="15">
        <v>55800001</v>
      </c>
      <c r="Q30" s="16">
        <v>0.19</v>
      </c>
    </row>
    <row r="31" spans="10:17" ht="14.4" x14ac:dyDescent="0.3">
      <c r="J31" s="15">
        <v>43850001</v>
      </c>
      <c r="K31" s="16">
        <v>0.17</v>
      </c>
      <c r="M31" s="15">
        <v>64000001</v>
      </c>
      <c r="N31" s="16">
        <v>0.21</v>
      </c>
      <c r="P31" s="15">
        <v>60400001</v>
      </c>
      <c r="Q31" s="16">
        <v>0.2</v>
      </c>
    </row>
    <row r="32" spans="10:17" ht="14.4" x14ac:dyDescent="0.3">
      <c r="J32" s="15">
        <v>47800001</v>
      </c>
      <c r="K32" s="16">
        <v>0.18</v>
      </c>
      <c r="M32" s="15">
        <v>71000001</v>
      </c>
      <c r="N32" s="16">
        <v>0.22</v>
      </c>
      <c r="P32" s="15">
        <v>66700001</v>
      </c>
      <c r="Q32" s="16">
        <v>0.21</v>
      </c>
    </row>
    <row r="33" spans="10:17" ht="14.4" x14ac:dyDescent="0.3">
      <c r="J33" s="15">
        <v>51400001</v>
      </c>
      <c r="K33" s="16">
        <v>0.19</v>
      </c>
      <c r="M33" s="15">
        <v>80000001</v>
      </c>
      <c r="N33" s="16">
        <v>0.23</v>
      </c>
      <c r="P33" s="15">
        <v>74500001</v>
      </c>
      <c r="Q33" s="16">
        <v>0.22</v>
      </c>
    </row>
    <row r="34" spans="10:17" ht="14.4" x14ac:dyDescent="0.3">
      <c r="J34" s="15">
        <v>56300001</v>
      </c>
      <c r="K34" s="16">
        <v>0.2</v>
      </c>
      <c r="M34" s="15">
        <v>93000001</v>
      </c>
      <c r="N34" s="16">
        <v>0.24</v>
      </c>
      <c r="P34" s="15">
        <v>83200001</v>
      </c>
      <c r="Q34" s="16">
        <v>0.23</v>
      </c>
    </row>
    <row r="35" spans="10:17" ht="14.4" x14ac:dyDescent="0.3">
      <c r="J35" s="15">
        <v>62200001</v>
      </c>
      <c r="K35" s="16">
        <v>0.21</v>
      </c>
      <c r="M35" s="15">
        <v>109000001</v>
      </c>
      <c r="N35" s="16">
        <v>0.25</v>
      </c>
      <c r="P35" s="15">
        <v>95600001</v>
      </c>
      <c r="Q35" s="16">
        <v>0.24</v>
      </c>
    </row>
    <row r="36" spans="10:17" ht="14.4" x14ac:dyDescent="0.3">
      <c r="J36" s="15">
        <v>68600001</v>
      </c>
      <c r="K36" s="16">
        <v>0.22</v>
      </c>
      <c r="M36" s="15">
        <v>129000001</v>
      </c>
      <c r="N36" s="16">
        <v>0.26</v>
      </c>
      <c r="P36" s="15">
        <v>110000001</v>
      </c>
      <c r="Q36" s="16">
        <v>0.25</v>
      </c>
    </row>
    <row r="37" spans="10:17" ht="14.4" x14ac:dyDescent="0.3">
      <c r="J37" s="15">
        <v>77500001</v>
      </c>
      <c r="K37" s="16">
        <v>0.23</v>
      </c>
      <c r="M37" s="15">
        <v>163000001</v>
      </c>
      <c r="N37" s="16">
        <v>0.27</v>
      </c>
      <c r="P37" s="15">
        <v>134000001</v>
      </c>
      <c r="Q37" s="16">
        <v>0.26</v>
      </c>
    </row>
    <row r="38" spans="10:17" ht="14.4" x14ac:dyDescent="0.3">
      <c r="J38" s="15">
        <v>89000001</v>
      </c>
      <c r="K38" s="16">
        <v>0.24</v>
      </c>
      <c r="M38" s="15">
        <v>211000001</v>
      </c>
      <c r="N38" s="16">
        <v>0.28000000000000003</v>
      </c>
      <c r="P38" s="15">
        <v>169000001</v>
      </c>
      <c r="Q38" s="16">
        <v>0.27</v>
      </c>
    </row>
    <row r="39" spans="10:17" ht="14.4" x14ac:dyDescent="0.3">
      <c r="J39" s="15">
        <v>103000001</v>
      </c>
      <c r="K39" s="16">
        <v>0.25</v>
      </c>
      <c r="M39" s="15">
        <v>374000001</v>
      </c>
      <c r="N39" s="16">
        <v>0.28999999999999998</v>
      </c>
      <c r="P39" s="15">
        <v>221000001</v>
      </c>
      <c r="Q39" s="16">
        <v>0.28000000000000003</v>
      </c>
    </row>
    <row r="40" spans="10:17" ht="14.4" x14ac:dyDescent="0.3">
      <c r="J40" s="15">
        <v>125000001</v>
      </c>
      <c r="K40" s="16">
        <v>0.26</v>
      </c>
      <c r="M40" s="15">
        <v>459000001</v>
      </c>
      <c r="N40" s="16">
        <v>0.3</v>
      </c>
      <c r="P40" s="15">
        <v>390000001</v>
      </c>
      <c r="Q40" s="16">
        <v>0.28999999999999998</v>
      </c>
    </row>
    <row r="41" spans="10:17" ht="14.4" x14ac:dyDescent="0.3">
      <c r="J41" s="15">
        <v>157000001</v>
      </c>
      <c r="K41" s="16">
        <v>0.27</v>
      </c>
      <c r="M41" s="15">
        <v>555000001</v>
      </c>
      <c r="N41" s="16">
        <v>0.31</v>
      </c>
      <c r="P41" s="15">
        <v>463000001</v>
      </c>
      <c r="Q41" s="16">
        <v>0.3</v>
      </c>
    </row>
    <row r="42" spans="10:17" ht="14.4" x14ac:dyDescent="0.3">
      <c r="J42" s="15">
        <v>206000001</v>
      </c>
      <c r="K42" s="16">
        <v>0.28000000000000003</v>
      </c>
      <c r="M42" s="15">
        <v>704000001</v>
      </c>
      <c r="N42" s="16">
        <v>0.32</v>
      </c>
      <c r="P42" s="15">
        <v>561000001</v>
      </c>
      <c r="Q42" s="16">
        <v>0.31</v>
      </c>
    </row>
    <row r="43" spans="10:17" ht="14.4" x14ac:dyDescent="0.3">
      <c r="J43" s="15">
        <v>337000001</v>
      </c>
      <c r="K43" s="16">
        <v>0.28999999999999998</v>
      </c>
      <c r="M43" s="15">
        <v>957000001</v>
      </c>
      <c r="N43" s="16">
        <v>0.33</v>
      </c>
      <c r="P43" s="15">
        <v>709000001</v>
      </c>
      <c r="Q43" s="16">
        <v>0.32</v>
      </c>
    </row>
    <row r="44" spans="10:17" ht="14.4" x14ac:dyDescent="0.3">
      <c r="J44" s="15">
        <v>454000001</v>
      </c>
      <c r="K44" s="16">
        <v>0.3</v>
      </c>
      <c r="M44" s="15">
        <v>1405000001</v>
      </c>
      <c r="N44" s="16">
        <v>0.34</v>
      </c>
      <c r="P44" s="15">
        <v>965000001</v>
      </c>
      <c r="Q44" s="16">
        <v>0.33</v>
      </c>
    </row>
    <row r="45" spans="10:17" ht="14.4" x14ac:dyDescent="0.3">
      <c r="J45" s="15">
        <v>550000001</v>
      </c>
      <c r="K45" s="16">
        <v>0.31</v>
      </c>
      <c r="P45" s="15">
        <v>1419000001</v>
      </c>
      <c r="Q45" s="16">
        <v>0.34</v>
      </c>
    </row>
    <row r="46" spans="10:17" ht="14.4" x14ac:dyDescent="0.3">
      <c r="J46" s="15">
        <v>695000001</v>
      </c>
      <c r="K46" s="16">
        <v>0.32</v>
      </c>
    </row>
    <row r="47" spans="10:17" ht="14.4" x14ac:dyDescent="0.3">
      <c r="J47" s="15">
        <v>910000001</v>
      </c>
      <c r="K47" s="16">
        <v>0.33</v>
      </c>
    </row>
    <row r="48" spans="10:17" ht="14.4" x14ac:dyDescent="0.3">
      <c r="J48" s="15">
        <v>1400000001</v>
      </c>
      <c r="K48" s="16">
        <v>0.34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75"/>
  <sheetViews>
    <sheetView zoomScaleNormal="100" workbookViewId="0">
      <pane ySplit="3" topLeftCell="A4" activePane="bottomLeft" state="frozen"/>
      <selection pane="bottomLeft"/>
    </sheetView>
  </sheetViews>
  <sheetFormatPr defaultColWidth="8.6640625" defaultRowHeight="15" customHeight="1" x14ac:dyDescent="0.3"/>
  <cols>
    <col min="1" max="1" width="8" customWidth="1"/>
    <col min="2" max="2" width="7" customWidth="1"/>
    <col min="3" max="3" width="11" customWidth="1"/>
    <col min="4" max="4" width="10" customWidth="1"/>
    <col min="5" max="5" width="20" customWidth="1"/>
    <col min="6" max="6" width="16" customWidth="1"/>
    <col min="7" max="7" width="18" customWidth="1"/>
    <col min="8" max="8" width="12" customWidth="1"/>
    <col min="9" max="9" width="9" customWidth="1"/>
    <col min="10" max="11" width="6" customWidth="1"/>
    <col min="12" max="13" width="14" customWidth="1"/>
    <col min="14" max="14" width="15" customWidth="1"/>
    <col min="15" max="17" width="12" customWidth="1"/>
    <col min="18" max="18" width="17" customWidth="1"/>
    <col min="19" max="22" width="14" customWidth="1"/>
    <col min="23" max="23" width="15" customWidth="1"/>
    <col min="24" max="24" width="13" customWidth="1"/>
    <col min="25" max="25" width="14" customWidth="1"/>
    <col min="26" max="26" width="12" customWidth="1"/>
    <col min="27" max="29" width="13" customWidth="1"/>
    <col min="30" max="30" width="14" customWidth="1"/>
    <col min="31" max="31" width="10" customWidth="1"/>
    <col min="32" max="35" width="14" customWidth="1"/>
    <col min="36" max="36" width="13" customWidth="1"/>
    <col min="37" max="37" width="16" customWidth="1"/>
    <col min="38" max="38" width="14" customWidth="1"/>
    <col min="39" max="39" width="13" customWidth="1"/>
    <col min="40" max="41" width="14" customWidth="1"/>
    <col min="42" max="42" width="18" customWidth="1"/>
    <col min="43" max="43" width="14" customWidth="1"/>
  </cols>
  <sheetData>
    <row r="1" spans="1:43" ht="17.399999999999999" x14ac:dyDescent="0.3">
      <c r="A1" s="33" t="s">
        <v>158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</row>
    <row r="3" spans="1:43" ht="28.2" x14ac:dyDescent="0.3">
      <c r="A3" s="4" t="s">
        <v>159</v>
      </c>
      <c r="B3" s="4" t="s">
        <v>160</v>
      </c>
      <c r="C3" s="4" t="s">
        <v>161</v>
      </c>
      <c r="D3" s="4" t="s">
        <v>9</v>
      </c>
      <c r="E3" s="4" t="s">
        <v>12</v>
      </c>
      <c r="F3" s="4" t="s">
        <v>19</v>
      </c>
      <c r="G3" s="4" t="s">
        <v>20</v>
      </c>
      <c r="H3" s="4" t="s">
        <v>18</v>
      </c>
      <c r="I3" s="4" t="s">
        <v>16</v>
      </c>
      <c r="J3" s="4" t="s">
        <v>162</v>
      </c>
      <c r="K3" s="4" t="s">
        <v>163</v>
      </c>
      <c r="L3" s="4" t="s">
        <v>27</v>
      </c>
      <c r="M3" s="4" t="s">
        <v>164</v>
      </c>
      <c r="N3" s="4" t="s">
        <v>165</v>
      </c>
      <c r="O3" s="4" t="s">
        <v>166</v>
      </c>
      <c r="P3" s="4" t="s">
        <v>167</v>
      </c>
      <c r="Q3" s="4" t="s">
        <v>168</v>
      </c>
      <c r="R3" s="4" t="s">
        <v>169</v>
      </c>
      <c r="S3" s="4" t="s">
        <v>170</v>
      </c>
      <c r="T3" s="4" t="s">
        <v>171</v>
      </c>
      <c r="U3" s="4" t="s">
        <v>172</v>
      </c>
      <c r="V3" s="4" t="s">
        <v>173</v>
      </c>
      <c r="W3" s="4" t="s">
        <v>174</v>
      </c>
      <c r="X3" s="4" t="s">
        <v>175</v>
      </c>
      <c r="Y3" s="4" t="s">
        <v>176</v>
      </c>
      <c r="Z3" s="4" t="s">
        <v>177</v>
      </c>
      <c r="AA3" s="4" t="s">
        <v>178</v>
      </c>
      <c r="AB3" s="4" t="s">
        <v>179</v>
      </c>
      <c r="AC3" s="4" t="s">
        <v>180</v>
      </c>
      <c r="AD3" s="4" t="s">
        <v>126</v>
      </c>
      <c r="AE3" s="4" t="s">
        <v>181</v>
      </c>
      <c r="AF3" s="4" t="s">
        <v>182</v>
      </c>
      <c r="AG3" s="4" t="s">
        <v>183</v>
      </c>
      <c r="AH3" s="4" t="s">
        <v>184</v>
      </c>
      <c r="AI3" s="4" t="s">
        <v>185</v>
      </c>
      <c r="AJ3" s="4" t="s">
        <v>186</v>
      </c>
      <c r="AK3" s="4" t="s">
        <v>187</v>
      </c>
      <c r="AL3" s="4" t="s">
        <v>188</v>
      </c>
      <c r="AM3" s="4" t="s">
        <v>189</v>
      </c>
      <c r="AN3" s="4" t="s">
        <v>190</v>
      </c>
      <c r="AO3" s="4" t="s">
        <v>191</v>
      </c>
      <c r="AP3" s="4" t="s">
        <v>192</v>
      </c>
      <c r="AQ3" s="4" t="s">
        <v>193</v>
      </c>
    </row>
    <row r="4" spans="1:43" ht="14.4" x14ac:dyDescent="0.3">
      <c r="A4" s="18">
        <v>2026</v>
      </c>
      <c r="B4" s="18">
        <v>1</v>
      </c>
      <c r="C4" s="19">
        <v>46023</v>
      </c>
      <c r="D4" s="18" t="s">
        <v>34</v>
      </c>
      <c r="E4" s="12" t="str">
        <f>VLOOKUP($D4,Master_Karyawan!$A$4:$Y$9,4,FALSE())</f>
        <v>Andi Pratama</v>
      </c>
      <c r="F4" s="12" t="str">
        <f>VLOOKUP($D4,Master_Karyawan!$A$4:$Y$9,11,FALSE())</f>
        <v>Sales</v>
      </c>
      <c r="G4" s="12" t="str">
        <f>VLOOKUP($D4,Master_Karyawan!$A$4:$Y$9,12,FALSE())</f>
        <v>Sales Executive</v>
      </c>
      <c r="H4" s="20">
        <f>VLOOKUP($D4,Master_Karyawan!$A$4:$Y$9,10,FALSE())</f>
        <v>45301</v>
      </c>
      <c r="I4" s="12" t="str">
        <f>VLOOKUP($D4,Master_Karyawan!$A$4:$Y$9,8,FALSE())</f>
        <v>TK/0</v>
      </c>
      <c r="J4" s="12" t="str">
        <f>VLOOKUP($D4,Master_Karyawan!$A$4:$Y$9,9,FALSE())</f>
        <v>A</v>
      </c>
      <c r="K4" s="12">
        <f t="shared" ref="K4:K35" si="0">IF(DATE($A4,$B4,1)&gt;=DATE(YEAR($H4),MONTH($H4),1),1,0)</f>
        <v>1</v>
      </c>
      <c r="L4" s="15">
        <f>IF($K4=1,VLOOKUP($D4,Master_Karyawan!$A$4:$Y$9,19,FALSE()),0)</f>
        <v>8000000</v>
      </c>
      <c r="M4" s="15">
        <f>IF($K4=1,VLOOKUP($D4,Master_Karyawan!$A$4:$Y$9,20,FALSE()),0)</f>
        <v>1000000</v>
      </c>
      <c r="N4" s="15">
        <f>IF($K4=1,VLOOKUP($D4,Master_Karyawan!$A$4:$Y$9,21,FALSE()),0)</f>
        <v>500000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15">
        <f t="shared" ref="T4:T35" si="1">SUM(L4:Q4)</f>
        <v>9500000</v>
      </c>
      <c r="U4" s="15">
        <f t="shared" ref="U4:U35" si="2">T4+R4</f>
        <v>9500000</v>
      </c>
      <c r="V4" s="15">
        <f>IF(AND($K4=1,VLOOKUP($D4,Master_Karyawan!$A$4:$Y$9,22,FALSE())="Y"),MIN(L4+M4+N4,Asumsi_Pajak!$B$8),0)</f>
        <v>9500000</v>
      </c>
      <c r="W4" s="15">
        <f>ROUND(V4*Asumsi_Pajak!$B$9,0)</f>
        <v>95000</v>
      </c>
      <c r="X4" s="15">
        <f>IF(AND($K4=1,VLOOKUP($D4,Master_Karyawan!$A$4:$Y$9,23,FALSE())="Y"),L4+M4+N4,0)</f>
        <v>9500000</v>
      </c>
      <c r="Y4" s="15">
        <f>ROUND(X4*Asumsi_Pajak!$B$11,0)</f>
        <v>190000</v>
      </c>
      <c r="Z4" s="15">
        <f>IF(AND($K4=1,VLOOKUP($D4,Master_Karyawan!$A$4:$Y$9,23,FALSE())="Y"),MIN(L4+M4+N4,Asumsi_Pajak!$B$12),0)</f>
        <v>9500000</v>
      </c>
      <c r="AA4" s="15">
        <f>ROUND(Z4*Asumsi_Pajak!$B$13,0)</f>
        <v>95000</v>
      </c>
      <c r="AB4" s="15">
        <f>MIN(ROUND(T4*Asumsi_Pajak!$B$5,0),Asumsi_Pajak!$B$6)</f>
        <v>475000</v>
      </c>
      <c r="AC4" s="15">
        <f t="shared" ref="AC4:AC35" si="3">T4-AB4-Y4-AA4</f>
        <v>8740000</v>
      </c>
      <c r="AD4" s="15">
        <f>VLOOKUP(I4,Asumsi_Pajak!$E$5:$F$12,2,FALSE())</f>
        <v>54000000</v>
      </c>
      <c r="AE4" s="16">
        <f>IF(J4="A",VLOOKUP(T4,Asumsi_Pajak!$J$5:$K$48,2,TRUE()),IF(J4="B",VLOOKUP(T4,Asumsi_Pajak!$M$5:$N$44,2,TRUE()),VLOOKUP(T4,Asumsi_Pajak!$P$5:$Q$45,2,TRUE())))</f>
        <v>1.7500000000000002E-2</v>
      </c>
      <c r="AF4" s="15">
        <f t="shared" ref="AF4:AF35" si="4">SUMIFS($T$4:$T$75,$D$4:$D$75,$D4,$A$4:$A$75,$A4)</f>
        <v>127625000</v>
      </c>
      <c r="AG4" s="15">
        <f>AF4-MIN(ROUND(AF4*Asumsi_Pajak!$B$5,0),Asumsi_Pajak!$B$7)-SUMIFS($Y$4:$Y$75,$D$4:$D$75,$D4,$A$4:$A$75,$A4)-SUMIFS($AA$4:$AA$75,$D$4:$D$75,$D4,$A$4:$A$75,$A4)</f>
        <v>118205000</v>
      </c>
      <c r="AH4" s="15">
        <f t="shared" ref="AH4:AH35" si="5">MAX(0,ROUNDDOWN((AG4-AD4)/1000,0)*1000)</f>
        <v>64205000</v>
      </c>
      <c r="AI4" s="15">
        <f t="shared" ref="AI4:AI35" si="6">MAX(0,MIN(AH4,60000000)*5%+MAX(MIN(AH4,250000000)-60000000,0)*15%+MAX(MIN(AH4,500000000)-250000000,0)*25%+MAX(MIN(AH4,5000000000)-500000000,0)*30%+MAX(AH4-5000000000,0)*35%)</f>
        <v>3630750</v>
      </c>
      <c r="AJ4" s="15">
        <f t="shared" ref="AJ4:AJ35" si="7">IF(B4&lt;12,ROUND(T4*AE4,0),MAX(0,AI4-SUMIFS($AJ$4:$AJ$75,$D$4:$D$75,$D4,$A$4:$A$75,$A4,$B$4:$B$75,"&lt;12")))</f>
        <v>166250</v>
      </c>
      <c r="AK4" s="15">
        <f>ROUND(V4*Asumsi_Pajak!$B$10,0)</f>
        <v>380000</v>
      </c>
      <c r="AL4" s="15">
        <f>ROUND(X4*Asumsi_Pajak!$B$14,0)</f>
        <v>351500</v>
      </c>
      <c r="AM4" s="15">
        <f>ROUND(Z4*Asumsi_Pajak!$B$15,0)</f>
        <v>190000</v>
      </c>
      <c r="AN4" s="15">
        <f>ROUND(X4*VLOOKUP($D4,Master_Karyawan!$A$4:$Y$9,24,FALSE()),0)</f>
        <v>22800</v>
      </c>
      <c r="AO4" s="15">
        <f>ROUND(X4*Asumsi_Pajak!$B$16,0)</f>
        <v>28500</v>
      </c>
      <c r="AP4" s="15">
        <f t="shared" ref="AP4:AP35" si="8">U4+AJ4+AK4+AL4+AM4+AN4+AO4</f>
        <v>10639050</v>
      </c>
      <c r="AQ4" s="15">
        <f t="shared" ref="AQ4:AQ35" si="9">U4-W4-Y4-AA4-AJ4-S4</f>
        <v>8953750</v>
      </c>
    </row>
    <row r="5" spans="1:43" ht="14.4" x14ac:dyDescent="0.3">
      <c r="A5" s="18">
        <v>2026</v>
      </c>
      <c r="B5" s="18">
        <v>1</v>
      </c>
      <c r="C5" s="19">
        <v>46023</v>
      </c>
      <c r="D5" s="18" t="s">
        <v>52</v>
      </c>
      <c r="E5" s="12" t="str">
        <f>VLOOKUP($D5,Master_Karyawan!$A$4:$Y$9,4,FALSE())</f>
        <v>Siti Nurhaliza</v>
      </c>
      <c r="F5" s="12" t="str">
        <f>VLOOKUP($D5,Master_Karyawan!$A$4:$Y$9,11,FALSE())</f>
        <v>HR</v>
      </c>
      <c r="G5" s="12" t="str">
        <f>VLOOKUP($D5,Master_Karyawan!$A$4:$Y$9,12,FALSE())</f>
        <v>HR Officer</v>
      </c>
      <c r="H5" s="20">
        <f>VLOOKUP($D5,Master_Karyawan!$A$4:$Y$9,10,FALSE())</f>
        <v>45108</v>
      </c>
      <c r="I5" s="12" t="str">
        <f>VLOOKUP($D5,Master_Karyawan!$A$4:$Y$9,8,FALSE())</f>
        <v>K/1</v>
      </c>
      <c r="J5" s="12" t="str">
        <f>VLOOKUP($D5,Master_Karyawan!$A$4:$Y$9,9,FALSE())</f>
        <v>B</v>
      </c>
      <c r="K5" s="12">
        <f t="shared" si="0"/>
        <v>1</v>
      </c>
      <c r="L5" s="15">
        <f>IF($K5=1,VLOOKUP($D5,Master_Karyawan!$A$4:$Y$9,19,FALSE()),0)</f>
        <v>10500000</v>
      </c>
      <c r="M5" s="15">
        <f>IF($K5=1,VLOOKUP($D5,Master_Karyawan!$A$4:$Y$9,20,FALSE()),0)</f>
        <v>1500000</v>
      </c>
      <c r="N5" s="15">
        <f>IF($K5=1,VLOOKUP($D5,Master_Karyawan!$A$4:$Y$9,21,FALSE()),0)</f>
        <v>500000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15">
        <f t="shared" si="1"/>
        <v>12500000</v>
      </c>
      <c r="U5" s="15">
        <f t="shared" si="2"/>
        <v>12500000</v>
      </c>
      <c r="V5" s="15">
        <f>IF(AND($K5=1,VLOOKUP($D5,Master_Karyawan!$A$4:$Y$9,22,FALSE())="Y"),MIN(L5+M5+N5,Asumsi_Pajak!$B$8),0)</f>
        <v>12000000</v>
      </c>
      <c r="W5" s="15">
        <f>ROUND(V5*Asumsi_Pajak!$B$9,0)</f>
        <v>120000</v>
      </c>
      <c r="X5" s="15">
        <f>IF(AND($K5=1,VLOOKUP($D5,Master_Karyawan!$A$4:$Y$9,23,FALSE())="Y"),L5+M5+N5,0)</f>
        <v>12500000</v>
      </c>
      <c r="Y5" s="15">
        <f>ROUND(X5*Asumsi_Pajak!$B$11,0)</f>
        <v>250000</v>
      </c>
      <c r="Z5" s="15">
        <f>IF(AND($K5=1,VLOOKUP($D5,Master_Karyawan!$A$4:$Y$9,23,FALSE())="Y"),MIN(L5+M5+N5,Asumsi_Pajak!$B$12),0)</f>
        <v>10547000</v>
      </c>
      <c r="AA5" s="15">
        <f>ROUND(Z5*Asumsi_Pajak!$B$13,0)</f>
        <v>105470</v>
      </c>
      <c r="AB5" s="15">
        <f>MIN(ROUND(T5*Asumsi_Pajak!$B$5,0),Asumsi_Pajak!$B$6)</f>
        <v>500000</v>
      </c>
      <c r="AC5" s="15">
        <f t="shared" si="3"/>
        <v>11644530</v>
      </c>
      <c r="AD5" s="15">
        <f>VLOOKUP(I5,Asumsi_Pajak!$E$5:$F$12,2,FALSE())</f>
        <v>63000000</v>
      </c>
      <c r="AE5" s="16">
        <f>IF(J5="A",VLOOKUP(T5,Asumsi_Pajak!$J$5:$K$48,2,TRUE()),IF(J5="B",VLOOKUP(T5,Asumsi_Pajak!$M$5:$N$44,2,TRUE()),VLOOKUP(T5,Asumsi_Pajak!$P$5:$Q$45,2,TRUE())))</f>
        <v>0.03</v>
      </c>
      <c r="AF5" s="15">
        <f t="shared" si="4"/>
        <v>168016246</v>
      </c>
      <c r="AG5" s="15">
        <f>AF5-MIN(ROUND(AF5*Asumsi_Pajak!$B$5,0),Asumsi_Pajak!$B$7)-SUMIFS($Y$4:$Y$75,$D$4:$D$75,$D5,$A$4:$A$75,$A5)-SUMIFS($AA$4:$AA$75,$D$4:$D$75,$D5,$A$4:$A$75,$A5)</f>
        <v>157750606</v>
      </c>
      <c r="AH5" s="15">
        <f t="shared" si="5"/>
        <v>94750000</v>
      </c>
      <c r="AI5" s="15">
        <f t="shared" si="6"/>
        <v>8212500</v>
      </c>
      <c r="AJ5" s="15">
        <f t="shared" si="7"/>
        <v>375000</v>
      </c>
      <c r="AK5" s="15">
        <f>ROUND(V5*Asumsi_Pajak!$B$10,0)</f>
        <v>480000</v>
      </c>
      <c r="AL5" s="15">
        <f>ROUND(X5*Asumsi_Pajak!$B$14,0)</f>
        <v>462500</v>
      </c>
      <c r="AM5" s="15">
        <f>ROUND(Z5*Asumsi_Pajak!$B$15,0)</f>
        <v>210940</v>
      </c>
      <c r="AN5" s="15">
        <f>ROUND(X5*VLOOKUP($D5,Master_Karyawan!$A$4:$Y$9,24,FALSE()),0)</f>
        <v>30000</v>
      </c>
      <c r="AO5" s="15">
        <f>ROUND(X5*Asumsi_Pajak!$B$16,0)</f>
        <v>37500</v>
      </c>
      <c r="AP5" s="15">
        <f t="shared" si="8"/>
        <v>14095940</v>
      </c>
      <c r="AQ5" s="15">
        <f t="shared" si="9"/>
        <v>11649530</v>
      </c>
    </row>
    <row r="6" spans="1:43" ht="14.4" x14ac:dyDescent="0.3">
      <c r="A6" s="18">
        <v>2026</v>
      </c>
      <c r="B6" s="18">
        <v>1</v>
      </c>
      <c r="C6" s="19">
        <v>46023</v>
      </c>
      <c r="D6" s="18" t="s">
        <v>67</v>
      </c>
      <c r="E6" s="12" t="str">
        <f>VLOOKUP($D6,Master_Karyawan!$A$4:$Y$9,4,FALSE())</f>
        <v>Budi Santoso</v>
      </c>
      <c r="F6" s="12" t="str">
        <f>VLOOKUP($D6,Master_Karyawan!$A$4:$Y$9,11,FALSE())</f>
        <v>IT</v>
      </c>
      <c r="G6" s="12" t="str">
        <f>VLOOKUP($D6,Master_Karyawan!$A$4:$Y$9,12,FALSE())</f>
        <v>IT Supervisor</v>
      </c>
      <c r="H6" s="20">
        <f>VLOOKUP($D6,Master_Karyawan!$A$4:$Y$9,10,FALSE())</f>
        <v>44697</v>
      </c>
      <c r="I6" s="12" t="str">
        <f>VLOOKUP($D6,Master_Karyawan!$A$4:$Y$9,8,FALSE())</f>
        <v>K/3</v>
      </c>
      <c r="J6" s="12" t="str">
        <f>VLOOKUP($D6,Master_Karyawan!$A$4:$Y$9,9,FALSE())</f>
        <v>C</v>
      </c>
      <c r="K6" s="12">
        <f t="shared" si="0"/>
        <v>1</v>
      </c>
      <c r="L6" s="15">
        <f>IF($K6=1,VLOOKUP($D6,Master_Karyawan!$A$4:$Y$9,19,FALSE()),0)</f>
        <v>18000000</v>
      </c>
      <c r="M6" s="15">
        <f>IF($K6=1,VLOOKUP($D6,Master_Karyawan!$A$4:$Y$9,20,FALSE()),0)</f>
        <v>3000000</v>
      </c>
      <c r="N6" s="15">
        <f>IF($K6=1,VLOOKUP($D6,Master_Karyawan!$A$4:$Y$9,21,FALSE()),0)</f>
        <v>750000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15">
        <f t="shared" si="1"/>
        <v>21750000</v>
      </c>
      <c r="U6" s="15">
        <f t="shared" si="2"/>
        <v>21750000</v>
      </c>
      <c r="V6" s="15">
        <f>IF(AND($K6=1,VLOOKUP($D6,Master_Karyawan!$A$4:$Y$9,22,FALSE())="Y"),MIN(L6+M6+N6,Asumsi_Pajak!$B$8),0)</f>
        <v>12000000</v>
      </c>
      <c r="W6" s="15">
        <f>ROUND(V6*Asumsi_Pajak!$B$9,0)</f>
        <v>120000</v>
      </c>
      <c r="X6" s="15">
        <f>IF(AND($K6=1,VLOOKUP($D6,Master_Karyawan!$A$4:$Y$9,23,FALSE())="Y"),L6+M6+N6,0)</f>
        <v>21750000</v>
      </c>
      <c r="Y6" s="15">
        <f>ROUND(X6*Asumsi_Pajak!$B$11,0)</f>
        <v>435000</v>
      </c>
      <c r="Z6" s="15">
        <f>IF(AND($K6=1,VLOOKUP($D6,Master_Karyawan!$A$4:$Y$9,23,FALSE())="Y"),MIN(L6+M6+N6,Asumsi_Pajak!$B$12),0)</f>
        <v>10547000</v>
      </c>
      <c r="AA6" s="15">
        <f>ROUND(Z6*Asumsi_Pajak!$B$13,0)</f>
        <v>105470</v>
      </c>
      <c r="AB6" s="15">
        <f>MIN(ROUND(T6*Asumsi_Pajak!$B$5,0),Asumsi_Pajak!$B$6)</f>
        <v>500000</v>
      </c>
      <c r="AC6" s="15">
        <f t="shared" si="3"/>
        <v>20709530</v>
      </c>
      <c r="AD6" s="15">
        <f>VLOOKUP(I6,Asumsi_Pajak!$E$5:$F$12,2,FALSE())</f>
        <v>72000000</v>
      </c>
      <c r="AE6" s="16">
        <f>IF(J6="A",VLOOKUP(T6,Asumsi_Pajak!$J$5:$K$48,2,TRUE()),IF(J6="B",VLOOKUP(T6,Asumsi_Pajak!$M$5:$N$44,2,TRUE()),VLOOKUP(T6,Asumsi_Pajak!$P$5:$Q$45,2,TRUE())))</f>
        <v>0.08</v>
      </c>
      <c r="AF6" s="15">
        <f t="shared" si="4"/>
        <v>291697500</v>
      </c>
      <c r="AG6" s="15">
        <f>AF6-MIN(ROUND(AF6*Asumsi_Pajak!$B$5,0),Asumsi_Pajak!$B$7)-SUMIFS($Y$4:$Y$75,$D$4:$D$75,$D6,$A$4:$A$75,$A6)-SUMIFS($AA$4:$AA$75,$D$4:$D$75,$D6,$A$4:$A$75,$A6)</f>
        <v>279211860</v>
      </c>
      <c r="AH6" s="15">
        <f t="shared" si="5"/>
        <v>207211000</v>
      </c>
      <c r="AI6" s="15">
        <f t="shared" si="6"/>
        <v>25081650</v>
      </c>
      <c r="AJ6" s="15">
        <f t="shared" si="7"/>
        <v>1740000</v>
      </c>
      <c r="AK6" s="15">
        <f>ROUND(V6*Asumsi_Pajak!$B$10,0)</f>
        <v>480000</v>
      </c>
      <c r="AL6" s="15">
        <f>ROUND(X6*Asumsi_Pajak!$B$14,0)</f>
        <v>804750</v>
      </c>
      <c r="AM6" s="15">
        <f>ROUND(Z6*Asumsi_Pajak!$B$15,0)</f>
        <v>210940</v>
      </c>
      <c r="AN6" s="15">
        <f>ROUND(X6*VLOOKUP($D6,Master_Karyawan!$A$4:$Y$9,24,FALSE()),0)</f>
        <v>117450</v>
      </c>
      <c r="AO6" s="15">
        <f>ROUND(X6*Asumsi_Pajak!$B$16,0)</f>
        <v>65250</v>
      </c>
      <c r="AP6" s="15">
        <f t="shared" si="8"/>
        <v>25168390</v>
      </c>
      <c r="AQ6" s="15">
        <f t="shared" si="9"/>
        <v>19349530</v>
      </c>
    </row>
    <row r="7" spans="1:43" ht="14.4" x14ac:dyDescent="0.3">
      <c r="A7" s="18">
        <v>2026</v>
      </c>
      <c r="B7" s="18">
        <v>1</v>
      </c>
      <c r="C7" s="19">
        <v>46023</v>
      </c>
      <c r="D7" s="18" t="s">
        <v>80</v>
      </c>
      <c r="E7" s="12" t="str">
        <f>VLOOKUP($D7,Master_Karyawan!$A$4:$Y$9,4,FALSE())</f>
        <v>Dewi Lestari</v>
      </c>
      <c r="F7" s="12" t="str">
        <f>VLOOKUP($D7,Master_Karyawan!$A$4:$Y$9,11,FALSE())</f>
        <v>Finance</v>
      </c>
      <c r="G7" s="12" t="str">
        <f>VLOOKUP($D7,Master_Karyawan!$A$4:$Y$9,12,FALSE())</f>
        <v>Finance Analyst</v>
      </c>
      <c r="H7" s="20">
        <f>VLOOKUP($D7,Master_Karyawan!$A$4:$Y$9,10,FALSE())</f>
        <v>45689</v>
      </c>
      <c r="I7" s="12" t="str">
        <f>VLOOKUP($D7,Master_Karyawan!$A$4:$Y$9,8,FALSE())</f>
        <v>TK/2</v>
      </c>
      <c r="J7" s="12" t="str">
        <f>VLOOKUP($D7,Master_Karyawan!$A$4:$Y$9,9,FALSE())</f>
        <v>B</v>
      </c>
      <c r="K7" s="12">
        <f t="shared" si="0"/>
        <v>1</v>
      </c>
      <c r="L7" s="15">
        <f>IF($K7=1,VLOOKUP($D7,Master_Karyawan!$A$4:$Y$9,19,FALSE()),0)</f>
        <v>14000000</v>
      </c>
      <c r="M7" s="15">
        <f>IF($K7=1,VLOOKUP($D7,Master_Karyawan!$A$4:$Y$9,20,FALSE()),0)</f>
        <v>2000000</v>
      </c>
      <c r="N7" s="15">
        <f>IF($K7=1,VLOOKUP($D7,Master_Karyawan!$A$4:$Y$9,21,FALSE()),0)</f>
        <v>650000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15">
        <f t="shared" si="1"/>
        <v>16650000</v>
      </c>
      <c r="U7" s="15">
        <f t="shared" si="2"/>
        <v>16650000</v>
      </c>
      <c r="V7" s="15">
        <f>IF(AND($K7=1,VLOOKUP($D7,Master_Karyawan!$A$4:$Y$9,22,FALSE())="Y"),MIN(L7+M7+N7,Asumsi_Pajak!$B$8),0)</f>
        <v>12000000</v>
      </c>
      <c r="W7" s="15">
        <f>ROUND(V7*Asumsi_Pajak!$B$9,0)</f>
        <v>120000</v>
      </c>
      <c r="X7" s="15">
        <f>IF(AND($K7=1,VLOOKUP($D7,Master_Karyawan!$A$4:$Y$9,23,FALSE())="Y"),L7+M7+N7,0)</f>
        <v>16650000</v>
      </c>
      <c r="Y7" s="15">
        <f>ROUND(X7*Asumsi_Pajak!$B$11,0)</f>
        <v>333000</v>
      </c>
      <c r="Z7" s="15">
        <f>IF(AND($K7=1,VLOOKUP($D7,Master_Karyawan!$A$4:$Y$9,23,FALSE())="Y"),MIN(L7+M7+N7,Asumsi_Pajak!$B$12),0)</f>
        <v>10547000</v>
      </c>
      <c r="AA7" s="15">
        <f>ROUND(Z7*Asumsi_Pajak!$B$13,0)</f>
        <v>105470</v>
      </c>
      <c r="AB7" s="15">
        <f>MIN(ROUND(T7*Asumsi_Pajak!$B$5,0),Asumsi_Pajak!$B$6)</f>
        <v>500000</v>
      </c>
      <c r="AC7" s="15">
        <f t="shared" si="3"/>
        <v>15711530</v>
      </c>
      <c r="AD7" s="15">
        <f>VLOOKUP(I7,Asumsi_Pajak!$E$5:$F$12,2,FALSE())</f>
        <v>63000000</v>
      </c>
      <c r="AE7" s="16">
        <f>IF(J7="A",VLOOKUP(T7,Asumsi_Pajak!$J$5:$K$48,2,TRUE()),IF(J7="B",VLOOKUP(T7,Asumsi_Pajak!$M$5:$N$44,2,TRUE()),VLOOKUP(T7,Asumsi_Pajak!$P$5:$Q$45,2,TRUE())))</f>
        <v>7.0000000000000007E-2</v>
      </c>
      <c r="AF7" s="15">
        <f t="shared" si="4"/>
        <v>224608750</v>
      </c>
      <c r="AG7" s="15">
        <f>AF7-MIN(ROUND(AF7*Asumsi_Pajak!$B$5,0),Asumsi_Pajak!$B$7)-SUMIFS($Y$4:$Y$75,$D$4:$D$75,$D7,$A$4:$A$75,$A7)-SUMIFS($AA$4:$AA$75,$D$4:$D$75,$D7,$A$4:$A$75,$A7)</f>
        <v>213347110</v>
      </c>
      <c r="AH7" s="15">
        <f t="shared" si="5"/>
        <v>150347000</v>
      </c>
      <c r="AI7" s="15">
        <f t="shared" si="6"/>
        <v>16552050</v>
      </c>
      <c r="AJ7" s="15">
        <f t="shared" si="7"/>
        <v>1165500</v>
      </c>
      <c r="AK7" s="15">
        <f>ROUND(V7*Asumsi_Pajak!$B$10,0)</f>
        <v>480000</v>
      </c>
      <c r="AL7" s="15">
        <f>ROUND(X7*Asumsi_Pajak!$B$14,0)</f>
        <v>616050</v>
      </c>
      <c r="AM7" s="15">
        <f>ROUND(Z7*Asumsi_Pajak!$B$15,0)</f>
        <v>210940</v>
      </c>
      <c r="AN7" s="15">
        <f>ROUND(X7*VLOOKUP($D7,Master_Karyawan!$A$4:$Y$9,24,FALSE()),0)</f>
        <v>39960</v>
      </c>
      <c r="AO7" s="15">
        <f>ROUND(X7*Asumsi_Pajak!$B$16,0)</f>
        <v>49950</v>
      </c>
      <c r="AP7" s="15">
        <f t="shared" si="8"/>
        <v>19212400</v>
      </c>
      <c r="AQ7" s="15">
        <f t="shared" si="9"/>
        <v>14926030</v>
      </c>
    </row>
    <row r="8" spans="1:43" ht="14.4" x14ac:dyDescent="0.3">
      <c r="A8" s="18">
        <v>2026</v>
      </c>
      <c r="B8" s="18">
        <v>1</v>
      </c>
      <c r="C8" s="19">
        <v>46023</v>
      </c>
      <c r="D8" s="18" t="s">
        <v>92</v>
      </c>
      <c r="E8" s="12" t="str">
        <f>VLOOKUP($D8,Master_Karyawan!$A$4:$Y$9,4,FALSE())</f>
        <v>Rudi Hartono</v>
      </c>
      <c r="F8" s="12" t="str">
        <f>VLOOKUP($D8,Master_Karyawan!$A$4:$Y$9,11,FALSE())</f>
        <v>Operations</v>
      </c>
      <c r="G8" s="12" t="str">
        <f>VLOOKUP($D8,Master_Karyawan!$A$4:$Y$9,12,FALSE())</f>
        <v>Warehouse Lead</v>
      </c>
      <c r="H8" s="20">
        <f>VLOOKUP($D8,Master_Karyawan!$A$4:$Y$9,10,FALSE())</f>
        <v>44508</v>
      </c>
      <c r="I8" s="12" t="str">
        <f>VLOOKUP($D8,Master_Karyawan!$A$4:$Y$9,8,FALSE())</f>
        <v>K/0</v>
      </c>
      <c r="J8" s="12" t="str">
        <f>VLOOKUP($D8,Master_Karyawan!$A$4:$Y$9,9,FALSE())</f>
        <v>A</v>
      </c>
      <c r="K8" s="12">
        <f t="shared" si="0"/>
        <v>1</v>
      </c>
      <c r="L8" s="15">
        <f>IF($K8=1,VLOOKUP($D8,Master_Karyawan!$A$4:$Y$9,19,FALSE()),0)</f>
        <v>7500000</v>
      </c>
      <c r="M8" s="15">
        <f>IF($K8=1,VLOOKUP($D8,Master_Karyawan!$A$4:$Y$9,20,FALSE()),0)</f>
        <v>1000000</v>
      </c>
      <c r="N8" s="15">
        <f>IF($K8=1,VLOOKUP($D8,Master_Karyawan!$A$4:$Y$9,21,FALSE()),0)</f>
        <v>400000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15">
        <f t="shared" si="1"/>
        <v>8900000</v>
      </c>
      <c r="U8" s="15">
        <f t="shared" si="2"/>
        <v>8900000</v>
      </c>
      <c r="V8" s="15">
        <f>IF(AND($K8=1,VLOOKUP($D8,Master_Karyawan!$A$4:$Y$9,22,FALSE())="Y"),MIN(L8+M8+N8,Asumsi_Pajak!$B$8),0)</f>
        <v>8900000</v>
      </c>
      <c r="W8" s="15">
        <f>ROUND(V8*Asumsi_Pajak!$B$9,0)</f>
        <v>89000</v>
      </c>
      <c r="X8" s="15">
        <f>IF(AND($K8=1,VLOOKUP($D8,Master_Karyawan!$A$4:$Y$9,23,FALSE())="Y"),L8+M8+N8,0)</f>
        <v>8900000</v>
      </c>
      <c r="Y8" s="15">
        <f>ROUND(X8*Asumsi_Pajak!$B$11,0)</f>
        <v>178000</v>
      </c>
      <c r="Z8" s="15">
        <f>IF(AND($K8=1,VLOOKUP($D8,Master_Karyawan!$A$4:$Y$9,23,FALSE())="Y"),MIN(L8+M8+N8,Asumsi_Pajak!$B$12),0)</f>
        <v>8900000</v>
      </c>
      <c r="AA8" s="15">
        <f>ROUND(Z8*Asumsi_Pajak!$B$13,0)</f>
        <v>89000</v>
      </c>
      <c r="AB8" s="15">
        <f>MIN(ROUND(T8*Asumsi_Pajak!$B$5,0),Asumsi_Pajak!$B$6)</f>
        <v>445000</v>
      </c>
      <c r="AC8" s="15">
        <f t="shared" si="3"/>
        <v>8188000</v>
      </c>
      <c r="AD8" s="15">
        <f>VLOOKUP(I8,Asumsi_Pajak!$E$5:$F$12,2,FALSE())</f>
        <v>58500000</v>
      </c>
      <c r="AE8" s="16">
        <f>IF(J8="A",VLOOKUP(T8,Asumsi_Pajak!$J$5:$K$48,2,TRUE()),IF(J8="B",VLOOKUP(T8,Asumsi_Pajak!$M$5:$N$44,2,TRUE()),VLOOKUP(T8,Asumsi_Pajak!$P$5:$Q$45,2,TRUE())))</f>
        <v>1.7500000000000002E-2</v>
      </c>
      <c r="AF8" s="15">
        <f t="shared" si="4"/>
        <v>121845000</v>
      </c>
      <c r="AG8" s="15">
        <f>AF8-MIN(ROUND(AF8*Asumsi_Pajak!$B$5,0),Asumsi_Pajak!$B$7)-SUMIFS($Y$4:$Y$75,$D$4:$D$75,$D8,$A$4:$A$75,$A8)-SUMIFS($AA$4:$AA$75,$D$4:$D$75,$D8,$A$4:$A$75,$A8)</f>
        <v>112641000</v>
      </c>
      <c r="AH8" s="15">
        <f t="shared" si="5"/>
        <v>54141000</v>
      </c>
      <c r="AI8" s="15">
        <f t="shared" si="6"/>
        <v>2707050</v>
      </c>
      <c r="AJ8" s="15">
        <f t="shared" si="7"/>
        <v>155750</v>
      </c>
      <c r="AK8" s="15">
        <f>ROUND(V8*Asumsi_Pajak!$B$10,0)</f>
        <v>356000</v>
      </c>
      <c r="AL8" s="15">
        <f>ROUND(X8*Asumsi_Pajak!$B$14,0)</f>
        <v>329300</v>
      </c>
      <c r="AM8" s="15">
        <f>ROUND(Z8*Asumsi_Pajak!$B$15,0)</f>
        <v>178000</v>
      </c>
      <c r="AN8" s="15">
        <f>ROUND(X8*VLOOKUP($D8,Master_Karyawan!$A$4:$Y$9,24,FALSE()),0)</f>
        <v>48060</v>
      </c>
      <c r="AO8" s="15">
        <f>ROUND(X8*Asumsi_Pajak!$B$16,0)</f>
        <v>26700</v>
      </c>
      <c r="AP8" s="15">
        <f t="shared" si="8"/>
        <v>9993810</v>
      </c>
      <c r="AQ8" s="15">
        <f t="shared" si="9"/>
        <v>8388250</v>
      </c>
    </row>
    <row r="9" spans="1:43" ht="14.4" x14ac:dyDescent="0.3">
      <c r="A9" s="18">
        <v>2026</v>
      </c>
      <c r="B9" s="18">
        <v>1</v>
      </c>
      <c r="C9" s="19">
        <v>46023</v>
      </c>
      <c r="D9" s="18" t="s">
        <v>104</v>
      </c>
      <c r="E9" s="12" t="str">
        <f>VLOOKUP($D9,Master_Karyawan!$A$4:$Y$9,4,FALSE())</f>
        <v>Maya Putri</v>
      </c>
      <c r="F9" s="12" t="str">
        <f>VLOOKUP($D9,Master_Karyawan!$A$4:$Y$9,11,FALSE())</f>
        <v>Marketing</v>
      </c>
      <c r="G9" s="12" t="str">
        <f>VLOOKUP($D9,Master_Karyawan!$A$4:$Y$9,12,FALSE())</f>
        <v>Marketing Specialist</v>
      </c>
      <c r="H9" s="20">
        <f>VLOOKUP($D9,Master_Karyawan!$A$4:$Y$9,10,FALSE())</f>
        <v>45537</v>
      </c>
      <c r="I9" s="12" t="str">
        <f>VLOOKUP($D9,Master_Karyawan!$A$4:$Y$9,8,FALSE())</f>
        <v>TK/1</v>
      </c>
      <c r="J9" s="12" t="str">
        <f>VLOOKUP($D9,Master_Karyawan!$A$4:$Y$9,9,FALSE())</f>
        <v>A</v>
      </c>
      <c r="K9" s="12">
        <f t="shared" si="0"/>
        <v>1</v>
      </c>
      <c r="L9" s="15">
        <f>IF($K9=1,VLOOKUP($D9,Master_Karyawan!$A$4:$Y$9,19,FALSE()),0)</f>
        <v>12500000</v>
      </c>
      <c r="M9" s="15">
        <f>IF($K9=1,VLOOKUP($D9,Master_Karyawan!$A$4:$Y$9,20,FALSE()),0)</f>
        <v>2000000</v>
      </c>
      <c r="N9" s="15">
        <f>IF($K9=1,VLOOKUP($D9,Master_Karyawan!$A$4:$Y$9,21,FALSE()),0)</f>
        <v>600000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15">
        <f t="shared" si="1"/>
        <v>15100000</v>
      </c>
      <c r="U9" s="15">
        <f t="shared" si="2"/>
        <v>15100000</v>
      </c>
      <c r="V9" s="15">
        <f>IF(AND($K9=1,VLOOKUP($D9,Master_Karyawan!$A$4:$Y$9,22,FALSE())="Y"),MIN(L9+M9+N9,Asumsi_Pajak!$B$8),0)</f>
        <v>12000000</v>
      </c>
      <c r="W9" s="15">
        <f>ROUND(V9*Asumsi_Pajak!$B$9,0)</f>
        <v>120000</v>
      </c>
      <c r="X9" s="15">
        <f>IF(AND($K9=1,VLOOKUP($D9,Master_Karyawan!$A$4:$Y$9,23,FALSE())="Y"),L9+M9+N9,0)</f>
        <v>15100000</v>
      </c>
      <c r="Y9" s="15">
        <f>ROUND(X9*Asumsi_Pajak!$B$11,0)</f>
        <v>302000</v>
      </c>
      <c r="Z9" s="15">
        <f>IF(AND($K9=1,VLOOKUP($D9,Master_Karyawan!$A$4:$Y$9,23,FALSE())="Y"),MIN(L9+M9+N9,Asumsi_Pajak!$B$12),0)</f>
        <v>10547000</v>
      </c>
      <c r="AA9" s="15">
        <f>ROUND(Z9*Asumsi_Pajak!$B$13,0)</f>
        <v>105470</v>
      </c>
      <c r="AB9" s="15">
        <f>MIN(ROUND(T9*Asumsi_Pajak!$B$5,0),Asumsi_Pajak!$B$6)</f>
        <v>500000</v>
      </c>
      <c r="AC9" s="15">
        <f t="shared" si="3"/>
        <v>14192530</v>
      </c>
      <c r="AD9" s="15">
        <f>VLOOKUP(I9,Asumsi_Pajak!$E$5:$F$12,2,FALSE())</f>
        <v>58500000</v>
      </c>
      <c r="AE9" s="16">
        <f>IF(J9="A",VLOOKUP(T9,Asumsi_Pajak!$J$5:$K$48,2,TRUE()),IF(J9="B",VLOOKUP(T9,Asumsi_Pajak!$M$5:$N$44,2,TRUE()),VLOOKUP(T9,Asumsi_Pajak!$P$5:$Q$45,2,TRUE())))</f>
        <v>0.06</v>
      </c>
      <c r="AF9" s="15">
        <f t="shared" si="4"/>
        <v>205381250</v>
      </c>
      <c r="AG9" s="15">
        <f>AF9-MIN(ROUND(AF9*Asumsi_Pajak!$B$5,0),Asumsi_Pajak!$B$7)-SUMIFS($Y$4:$Y$75,$D$4:$D$75,$D9,$A$4:$A$75,$A9)-SUMIFS($AA$4:$AA$75,$D$4:$D$75,$D9,$A$4:$A$75,$A9)</f>
        <v>194491610</v>
      </c>
      <c r="AH9" s="15">
        <f t="shared" si="5"/>
        <v>135991000</v>
      </c>
      <c r="AI9" s="15">
        <f t="shared" si="6"/>
        <v>14398650</v>
      </c>
      <c r="AJ9" s="15">
        <f t="shared" si="7"/>
        <v>906000</v>
      </c>
      <c r="AK9" s="15">
        <f>ROUND(V9*Asumsi_Pajak!$B$10,0)</f>
        <v>480000</v>
      </c>
      <c r="AL9" s="15">
        <f>ROUND(X9*Asumsi_Pajak!$B$14,0)</f>
        <v>558700</v>
      </c>
      <c r="AM9" s="15">
        <f>ROUND(Z9*Asumsi_Pajak!$B$15,0)</f>
        <v>210940</v>
      </c>
      <c r="AN9" s="15">
        <f>ROUND(X9*VLOOKUP($D9,Master_Karyawan!$A$4:$Y$9,24,FALSE()),0)</f>
        <v>36240</v>
      </c>
      <c r="AO9" s="15">
        <f>ROUND(X9*Asumsi_Pajak!$B$16,0)</f>
        <v>45300</v>
      </c>
      <c r="AP9" s="15">
        <f t="shared" si="8"/>
        <v>17337180</v>
      </c>
      <c r="AQ9" s="15">
        <f t="shared" si="9"/>
        <v>13666530</v>
      </c>
    </row>
    <row r="10" spans="1:43" ht="14.4" x14ac:dyDescent="0.3">
      <c r="A10" s="18">
        <v>2026</v>
      </c>
      <c r="B10" s="18">
        <v>2</v>
      </c>
      <c r="C10" s="19">
        <v>46054</v>
      </c>
      <c r="D10" s="18" t="s">
        <v>34</v>
      </c>
      <c r="E10" s="12" t="str">
        <f>VLOOKUP($D10,Master_Karyawan!$A$4:$Y$9,4,FALSE())</f>
        <v>Andi Pratama</v>
      </c>
      <c r="F10" s="12" t="str">
        <f>VLOOKUP($D10,Master_Karyawan!$A$4:$Y$9,11,FALSE())</f>
        <v>Sales</v>
      </c>
      <c r="G10" s="12" t="str">
        <f>VLOOKUP($D10,Master_Karyawan!$A$4:$Y$9,12,FALSE())</f>
        <v>Sales Executive</v>
      </c>
      <c r="H10" s="20">
        <f>VLOOKUP($D10,Master_Karyawan!$A$4:$Y$9,10,FALSE())</f>
        <v>45301</v>
      </c>
      <c r="I10" s="12" t="str">
        <f>VLOOKUP($D10,Master_Karyawan!$A$4:$Y$9,8,FALSE())</f>
        <v>TK/0</v>
      </c>
      <c r="J10" s="12" t="str">
        <f>VLOOKUP($D10,Master_Karyawan!$A$4:$Y$9,9,FALSE())</f>
        <v>A</v>
      </c>
      <c r="K10" s="12">
        <f t="shared" si="0"/>
        <v>1</v>
      </c>
      <c r="L10" s="15">
        <f>IF($K10=1,VLOOKUP($D10,Master_Karyawan!$A$4:$Y$9,19,FALSE()),0)</f>
        <v>8000000</v>
      </c>
      <c r="M10" s="15">
        <f>IF($K10=1,VLOOKUP($D10,Master_Karyawan!$A$4:$Y$9,20,FALSE()),0)</f>
        <v>1000000</v>
      </c>
      <c r="N10" s="15">
        <f>IF($K10=1,VLOOKUP($D10,Master_Karyawan!$A$4:$Y$9,21,FALSE()),0)</f>
        <v>500000</v>
      </c>
      <c r="O10" s="21">
        <v>150000</v>
      </c>
      <c r="P10" s="21">
        <v>0</v>
      </c>
      <c r="Q10" s="21">
        <v>0</v>
      </c>
      <c r="R10" s="21">
        <v>50000</v>
      </c>
      <c r="S10" s="21">
        <v>0</v>
      </c>
      <c r="T10" s="15">
        <f t="shared" si="1"/>
        <v>9650000</v>
      </c>
      <c r="U10" s="15">
        <f t="shared" si="2"/>
        <v>9700000</v>
      </c>
      <c r="V10" s="15">
        <f>IF(AND($K10=1,VLOOKUP($D10,Master_Karyawan!$A$4:$Y$9,22,FALSE())="Y"),MIN(L10+M10+N10,Asumsi_Pajak!$B$8),0)</f>
        <v>9500000</v>
      </c>
      <c r="W10" s="15">
        <f>ROUND(V10*Asumsi_Pajak!$B$9,0)</f>
        <v>95000</v>
      </c>
      <c r="X10" s="15">
        <f>IF(AND($K10=1,VLOOKUP($D10,Master_Karyawan!$A$4:$Y$9,23,FALSE())="Y"),L10+M10+N10,0)</f>
        <v>9500000</v>
      </c>
      <c r="Y10" s="15">
        <f>ROUND(X10*Asumsi_Pajak!$B$11,0)</f>
        <v>190000</v>
      </c>
      <c r="Z10" s="15">
        <f>IF(AND($K10=1,VLOOKUP($D10,Master_Karyawan!$A$4:$Y$9,23,FALSE())="Y"),MIN(L10+M10+N10,Asumsi_Pajak!$B$12),0)</f>
        <v>9500000</v>
      </c>
      <c r="AA10" s="15">
        <f>ROUND(Z10*Asumsi_Pajak!$B$13,0)</f>
        <v>95000</v>
      </c>
      <c r="AB10" s="15">
        <f>MIN(ROUND(T10*Asumsi_Pajak!$B$5,0),Asumsi_Pajak!$B$6)</f>
        <v>482500</v>
      </c>
      <c r="AC10" s="15">
        <f t="shared" si="3"/>
        <v>8882500</v>
      </c>
      <c r="AD10" s="15">
        <f>VLOOKUP(I10,Asumsi_Pajak!$E$5:$F$12,2,FALSE())</f>
        <v>54000000</v>
      </c>
      <c r="AE10" s="16">
        <f>IF(J10="A",VLOOKUP(T10,Asumsi_Pajak!$J$5:$K$48,2,TRUE()),IF(J10="B",VLOOKUP(T10,Asumsi_Pajak!$M$5:$N$44,2,TRUE()),VLOOKUP(T10,Asumsi_Pajak!$P$5:$Q$45,2,TRUE())))</f>
        <v>1.7500000000000002E-2</v>
      </c>
      <c r="AF10" s="15">
        <f t="shared" si="4"/>
        <v>127625000</v>
      </c>
      <c r="AG10" s="15">
        <f>AF10-MIN(ROUND(AF10*Asumsi_Pajak!$B$5,0),Asumsi_Pajak!$B$7)-SUMIFS($Y$4:$Y$75,$D$4:$D$75,$D10,$A$4:$A$75,$A10)-SUMIFS($AA$4:$AA$75,$D$4:$D$75,$D10,$A$4:$A$75,$A10)</f>
        <v>118205000</v>
      </c>
      <c r="AH10" s="15">
        <f t="shared" si="5"/>
        <v>64205000</v>
      </c>
      <c r="AI10" s="15">
        <f t="shared" si="6"/>
        <v>3630750</v>
      </c>
      <c r="AJ10" s="15">
        <f t="shared" si="7"/>
        <v>168875</v>
      </c>
      <c r="AK10" s="15">
        <f>ROUND(V10*Asumsi_Pajak!$B$10,0)</f>
        <v>380000</v>
      </c>
      <c r="AL10" s="15">
        <f>ROUND(X10*Asumsi_Pajak!$B$14,0)</f>
        <v>351500</v>
      </c>
      <c r="AM10" s="15">
        <f>ROUND(Z10*Asumsi_Pajak!$B$15,0)</f>
        <v>190000</v>
      </c>
      <c r="AN10" s="15">
        <f>ROUND(X10*VLOOKUP($D10,Master_Karyawan!$A$4:$Y$9,24,FALSE()),0)</f>
        <v>22800</v>
      </c>
      <c r="AO10" s="15">
        <f>ROUND(X10*Asumsi_Pajak!$B$16,0)</f>
        <v>28500</v>
      </c>
      <c r="AP10" s="15">
        <f t="shared" si="8"/>
        <v>10841675</v>
      </c>
      <c r="AQ10" s="15">
        <f t="shared" si="9"/>
        <v>9151125</v>
      </c>
    </row>
    <row r="11" spans="1:43" ht="14.4" x14ac:dyDescent="0.3">
      <c r="A11" s="18">
        <v>2026</v>
      </c>
      <c r="B11" s="18">
        <v>2</v>
      </c>
      <c r="C11" s="19">
        <v>46054</v>
      </c>
      <c r="D11" s="18" t="s">
        <v>52</v>
      </c>
      <c r="E11" s="12" t="str">
        <f>VLOOKUP($D11,Master_Karyawan!$A$4:$Y$9,4,FALSE())</f>
        <v>Siti Nurhaliza</v>
      </c>
      <c r="F11" s="12" t="str">
        <f>VLOOKUP($D11,Master_Karyawan!$A$4:$Y$9,11,FALSE())</f>
        <v>HR</v>
      </c>
      <c r="G11" s="12" t="str">
        <f>VLOOKUP($D11,Master_Karyawan!$A$4:$Y$9,12,FALSE())</f>
        <v>HR Officer</v>
      </c>
      <c r="H11" s="20">
        <f>VLOOKUP($D11,Master_Karyawan!$A$4:$Y$9,10,FALSE())</f>
        <v>45108</v>
      </c>
      <c r="I11" s="12" t="str">
        <f>VLOOKUP($D11,Master_Karyawan!$A$4:$Y$9,8,FALSE())</f>
        <v>K/1</v>
      </c>
      <c r="J11" s="12" t="str">
        <f>VLOOKUP($D11,Master_Karyawan!$A$4:$Y$9,9,FALSE())</f>
        <v>B</v>
      </c>
      <c r="K11" s="12">
        <f t="shared" si="0"/>
        <v>1</v>
      </c>
      <c r="L11" s="15">
        <f>IF($K11=1,VLOOKUP($D11,Master_Karyawan!$A$4:$Y$9,19,FALSE()),0)</f>
        <v>10500000</v>
      </c>
      <c r="M11" s="15">
        <f>IF($K11=1,VLOOKUP($D11,Master_Karyawan!$A$4:$Y$9,20,FALSE()),0)</f>
        <v>1500000</v>
      </c>
      <c r="N11" s="15">
        <f>IF($K11=1,VLOOKUP($D11,Master_Karyawan!$A$4:$Y$9,21,FALSE()),0)</f>
        <v>500000</v>
      </c>
      <c r="O11" s="21">
        <v>172500</v>
      </c>
      <c r="P11" s="21">
        <v>0</v>
      </c>
      <c r="Q11" s="21">
        <v>0</v>
      </c>
      <c r="R11" s="21">
        <v>100000</v>
      </c>
      <c r="S11" s="21">
        <v>0</v>
      </c>
      <c r="T11" s="15">
        <f t="shared" si="1"/>
        <v>12672500</v>
      </c>
      <c r="U11" s="15">
        <f t="shared" si="2"/>
        <v>12772500</v>
      </c>
      <c r="V11" s="15">
        <f>IF(AND($K11=1,VLOOKUP($D11,Master_Karyawan!$A$4:$Y$9,22,FALSE())="Y"),MIN(L11+M11+N11,Asumsi_Pajak!$B$8),0)</f>
        <v>12000000</v>
      </c>
      <c r="W11" s="15">
        <f>ROUND(V11*Asumsi_Pajak!$B$9,0)</f>
        <v>120000</v>
      </c>
      <c r="X11" s="15">
        <f>IF(AND($K11=1,VLOOKUP($D11,Master_Karyawan!$A$4:$Y$9,23,FALSE())="Y"),L11+M11+N11,0)</f>
        <v>12500000</v>
      </c>
      <c r="Y11" s="15">
        <f>ROUND(X11*Asumsi_Pajak!$B$11,0)</f>
        <v>250000</v>
      </c>
      <c r="Z11" s="15">
        <f>IF(AND($K11=1,VLOOKUP($D11,Master_Karyawan!$A$4:$Y$9,23,FALSE())="Y"),MIN(L11+M11+N11,Asumsi_Pajak!$B$12),0)</f>
        <v>10547000</v>
      </c>
      <c r="AA11" s="15">
        <f>ROUND(Z11*Asumsi_Pajak!$B$13,0)</f>
        <v>105470</v>
      </c>
      <c r="AB11" s="15">
        <f>MIN(ROUND(T11*Asumsi_Pajak!$B$5,0),Asumsi_Pajak!$B$6)</f>
        <v>500000</v>
      </c>
      <c r="AC11" s="15">
        <f t="shared" si="3"/>
        <v>11817030</v>
      </c>
      <c r="AD11" s="15">
        <f>VLOOKUP(I11,Asumsi_Pajak!$E$5:$F$12,2,FALSE())</f>
        <v>63000000</v>
      </c>
      <c r="AE11" s="16">
        <f>IF(J11="A",VLOOKUP(T11,Asumsi_Pajak!$J$5:$K$48,2,TRUE()),IF(J11="B",VLOOKUP(T11,Asumsi_Pajak!$M$5:$N$44,2,TRUE()),VLOOKUP(T11,Asumsi_Pajak!$P$5:$Q$45,2,TRUE())))</f>
        <v>0.04</v>
      </c>
      <c r="AF11" s="15">
        <f t="shared" si="4"/>
        <v>168016246</v>
      </c>
      <c r="AG11" s="15">
        <f>AF11-MIN(ROUND(AF11*Asumsi_Pajak!$B$5,0),Asumsi_Pajak!$B$7)-SUMIFS($Y$4:$Y$75,$D$4:$D$75,$D11,$A$4:$A$75,$A11)-SUMIFS($AA$4:$AA$75,$D$4:$D$75,$D11,$A$4:$A$75,$A11)</f>
        <v>157750606</v>
      </c>
      <c r="AH11" s="15">
        <f t="shared" si="5"/>
        <v>94750000</v>
      </c>
      <c r="AI11" s="15">
        <f t="shared" si="6"/>
        <v>8212500</v>
      </c>
      <c r="AJ11" s="15">
        <f t="shared" si="7"/>
        <v>506900</v>
      </c>
      <c r="AK11" s="15">
        <f>ROUND(V11*Asumsi_Pajak!$B$10,0)</f>
        <v>480000</v>
      </c>
      <c r="AL11" s="15">
        <f>ROUND(X11*Asumsi_Pajak!$B$14,0)</f>
        <v>462500</v>
      </c>
      <c r="AM11" s="15">
        <f>ROUND(Z11*Asumsi_Pajak!$B$15,0)</f>
        <v>210940</v>
      </c>
      <c r="AN11" s="15">
        <f>ROUND(X11*VLOOKUP($D11,Master_Karyawan!$A$4:$Y$9,24,FALSE()),0)</f>
        <v>30000</v>
      </c>
      <c r="AO11" s="15">
        <f>ROUND(X11*Asumsi_Pajak!$B$16,0)</f>
        <v>37500</v>
      </c>
      <c r="AP11" s="15">
        <f t="shared" si="8"/>
        <v>14500340</v>
      </c>
      <c r="AQ11" s="15">
        <f t="shared" si="9"/>
        <v>11790130</v>
      </c>
    </row>
    <row r="12" spans="1:43" ht="14.4" x14ac:dyDescent="0.3">
      <c r="A12" s="18">
        <v>2026</v>
      </c>
      <c r="B12" s="18">
        <v>2</v>
      </c>
      <c r="C12" s="19">
        <v>46054</v>
      </c>
      <c r="D12" s="18" t="s">
        <v>67</v>
      </c>
      <c r="E12" s="12" t="str">
        <f>VLOOKUP($D12,Master_Karyawan!$A$4:$Y$9,4,FALSE())</f>
        <v>Budi Santoso</v>
      </c>
      <c r="F12" s="12" t="str">
        <f>VLOOKUP($D12,Master_Karyawan!$A$4:$Y$9,11,FALSE())</f>
        <v>IT</v>
      </c>
      <c r="G12" s="12" t="str">
        <f>VLOOKUP($D12,Master_Karyawan!$A$4:$Y$9,12,FALSE())</f>
        <v>IT Supervisor</v>
      </c>
      <c r="H12" s="20">
        <f>VLOOKUP($D12,Master_Karyawan!$A$4:$Y$9,10,FALSE())</f>
        <v>44697</v>
      </c>
      <c r="I12" s="12" t="str">
        <f>VLOOKUP($D12,Master_Karyawan!$A$4:$Y$9,8,FALSE())</f>
        <v>K/3</v>
      </c>
      <c r="J12" s="12" t="str">
        <f>VLOOKUP($D12,Master_Karyawan!$A$4:$Y$9,9,FALSE())</f>
        <v>C</v>
      </c>
      <c r="K12" s="12">
        <f t="shared" si="0"/>
        <v>1</v>
      </c>
      <c r="L12" s="15">
        <f>IF($K12=1,VLOOKUP($D12,Master_Karyawan!$A$4:$Y$9,19,FALSE()),0)</f>
        <v>18000000</v>
      </c>
      <c r="M12" s="15">
        <f>IF($K12=1,VLOOKUP($D12,Master_Karyawan!$A$4:$Y$9,20,FALSE()),0)</f>
        <v>3000000</v>
      </c>
      <c r="N12" s="15">
        <f>IF($K12=1,VLOOKUP($D12,Master_Karyawan!$A$4:$Y$9,21,FALSE()),0)</f>
        <v>750000</v>
      </c>
      <c r="O12" s="21">
        <v>195000</v>
      </c>
      <c r="P12" s="21">
        <v>0</v>
      </c>
      <c r="Q12" s="21">
        <v>0</v>
      </c>
      <c r="R12" s="21">
        <v>150000</v>
      </c>
      <c r="S12" s="21">
        <v>0</v>
      </c>
      <c r="T12" s="15">
        <f t="shared" si="1"/>
        <v>21945000</v>
      </c>
      <c r="U12" s="15">
        <f t="shared" si="2"/>
        <v>22095000</v>
      </c>
      <c r="V12" s="15">
        <f>IF(AND($K12=1,VLOOKUP($D12,Master_Karyawan!$A$4:$Y$9,22,FALSE())="Y"),MIN(L12+M12+N12,Asumsi_Pajak!$B$8),0)</f>
        <v>12000000</v>
      </c>
      <c r="W12" s="15">
        <f>ROUND(V12*Asumsi_Pajak!$B$9,0)</f>
        <v>120000</v>
      </c>
      <c r="X12" s="15">
        <f>IF(AND($K12=1,VLOOKUP($D12,Master_Karyawan!$A$4:$Y$9,23,FALSE())="Y"),L12+M12+N12,0)</f>
        <v>21750000</v>
      </c>
      <c r="Y12" s="15">
        <f>ROUND(X12*Asumsi_Pajak!$B$11,0)</f>
        <v>435000</v>
      </c>
      <c r="Z12" s="15">
        <f>IF(AND($K12=1,VLOOKUP($D12,Master_Karyawan!$A$4:$Y$9,23,FALSE())="Y"),MIN(L12+M12+N12,Asumsi_Pajak!$B$12),0)</f>
        <v>10547000</v>
      </c>
      <c r="AA12" s="15">
        <f>ROUND(Z12*Asumsi_Pajak!$B$13,0)</f>
        <v>105470</v>
      </c>
      <c r="AB12" s="15">
        <f>MIN(ROUND(T12*Asumsi_Pajak!$B$5,0),Asumsi_Pajak!$B$6)</f>
        <v>500000</v>
      </c>
      <c r="AC12" s="15">
        <f t="shared" si="3"/>
        <v>20904530</v>
      </c>
      <c r="AD12" s="15">
        <f>VLOOKUP(I12,Asumsi_Pajak!$E$5:$F$12,2,FALSE())</f>
        <v>72000000</v>
      </c>
      <c r="AE12" s="16">
        <f>IF(J12="A",VLOOKUP(T12,Asumsi_Pajak!$J$5:$K$48,2,TRUE()),IF(J12="B",VLOOKUP(T12,Asumsi_Pajak!$M$5:$N$44,2,TRUE()),VLOOKUP(T12,Asumsi_Pajak!$P$5:$Q$45,2,TRUE())))</f>
        <v>0.08</v>
      </c>
      <c r="AF12" s="15">
        <f t="shared" si="4"/>
        <v>291697500</v>
      </c>
      <c r="AG12" s="15">
        <f>AF12-MIN(ROUND(AF12*Asumsi_Pajak!$B$5,0),Asumsi_Pajak!$B$7)-SUMIFS($Y$4:$Y$75,$D$4:$D$75,$D12,$A$4:$A$75,$A12)-SUMIFS($AA$4:$AA$75,$D$4:$D$75,$D12,$A$4:$A$75,$A12)</f>
        <v>279211860</v>
      </c>
      <c r="AH12" s="15">
        <f t="shared" si="5"/>
        <v>207211000</v>
      </c>
      <c r="AI12" s="15">
        <f t="shared" si="6"/>
        <v>25081650</v>
      </c>
      <c r="AJ12" s="15">
        <f t="shared" si="7"/>
        <v>1755600</v>
      </c>
      <c r="AK12" s="15">
        <f>ROUND(V12*Asumsi_Pajak!$B$10,0)</f>
        <v>480000</v>
      </c>
      <c r="AL12" s="15">
        <f>ROUND(X12*Asumsi_Pajak!$B$14,0)</f>
        <v>804750</v>
      </c>
      <c r="AM12" s="15">
        <f>ROUND(Z12*Asumsi_Pajak!$B$15,0)</f>
        <v>210940</v>
      </c>
      <c r="AN12" s="15">
        <f>ROUND(X12*VLOOKUP($D12,Master_Karyawan!$A$4:$Y$9,24,FALSE()),0)</f>
        <v>117450</v>
      </c>
      <c r="AO12" s="15">
        <f>ROUND(X12*Asumsi_Pajak!$B$16,0)</f>
        <v>65250</v>
      </c>
      <c r="AP12" s="15">
        <f t="shared" si="8"/>
        <v>25528990</v>
      </c>
      <c r="AQ12" s="15">
        <f t="shared" si="9"/>
        <v>19678930</v>
      </c>
    </row>
    <row r="13" spans="1:43" ht="14.4" x14ac:dyDescent="0.3">
      <c r="A13" s="18">
        <v>2026</v>
      </c>
      <c r="B13" s="18">
        <v>2</v>
      </c>
      <c r="C13" s="19">
        <v>46054</v>
      </c>
      <c r="D13" s="18" t="s">
        <v>80</v>
      </c>
      <c r="E13" s="12" t="str">
        <f>VLOOKUP($D13,Master_Karyawan!$A$4:$Y$9,4,FALSE())</f>
        <v>Dewi Lestari</v>
      </c>
      <c r="F13" s="12" t="str">
        <f>VLOOKUP($D13,Master_Karyawan!$A$4:$Y$9,11,FALSE())</f>
        <v>Finance</v>
      </c>
      <c r="G13" s="12" t="str">
        <f>VLOOKUP($D13,Master_Karyawan!$A$4:$Y$9,12,FALSE())</f>
        <v>Finance Analyst</v>
      </c>
      <c r="H13" s="20">
        <f>VLOOKUP($D13,Master_Karyawan!$A$4:$Y$9,10,FALSE())</f>
        <v>45689</v>
      </c>
      <c r="I13" s="12" t="str">
        <f>VLOOKUP($D13,Master_Karyawan!$A$4:$Y$9,8,FALSE())</f>
        <v>TK/2</v>
      </c>
      <c r="J13" s="12" t="str">
        <f>VLOOKUP($D13,Master_Karyawan!$A$4:$Y$9,9,FALSE())</f>
        <v>B</v>
      </c>
      <c r="K13" s="12">
        <f t="shared" si="0"/>
        <v>1</v>
      </c>
      <c r="L13" s="15">
        <f>IF($K13=1,VLOOKUP($D13,Master_Karyawan!$A$4:$Y$9,19,FALSE()),0)</f>
        <v>14000000</v>
      </c>
      <c r="M13" s="15">
        <f>IF($K13=1,VLOOKUP($D13,Master_Karyawan!$A$4:$Y$9,20,FALSE()),0)</f>
        <v>2000000</v>
      </c>
      <c r="N13" s="15">
        <f>IF($K13=1,VLOOKUP($D13,Master_Karyawan!$A$4:$Y$9,21,FALSE()),0)</f>
        <v>650000</v>
      </c>
      <c r="O13" s="21">
        <v>217500</v>
      </c>
      <c r="P13" s="21">
        <v>0</v>
      </c>
      <c r="Q13" s="21">
        <v>0</v>
      </c>
      <c r="R13" s="21">
        <v>200000</v>
      </c>
      <c r="S13" s="21">
        <v>0</v>
      </c>
      <c r="T13" s="15">
        <f t="shared" si="1"/>
        <v>16867500</v>
      </c>
      <c r="U13" s="15">
        <f t="shared" si="2"/>
        <v>17067500</v>
      </c>
      <c r="V13" s="15">
        <f>IF(AND($K13=1,VLOOKUP($D13,Master_Karyawan!$A$4:$Y$9,22,FALSE())="Y"),MIN(L13+M13+N13,Asumsi_Pajak!$B$8),0)</f>
        <v>12000000</v>
      </c>
      <c r="W13" s="15">
        <f>ROUND(V13*Asumsi_Pajak!$B$9,0)</f>
        <v>120000</v>
      </c>
      <c r="X13" s="15">
        <f>IF(AND($K13=1,VLOOKUP($D13,Master_Karyawan!$A$4:$Y$9,23,FALSE())="Y"),L13+M13+N13,0)</f>
        <v>16650000</v>
      </c>
      <c r="Y13" s="15">
        <f>ROUND(X13*Asumsi_Pajak!$B$11,0)</f>
        <v>333000</v>
      </c>
      <c r="Z13" s="15">
        <f>IF(AND($K13=1,VLOOKUP($D13,Master_Karyawan!$A$4:$Y$9,23,FALSE())="Y"),MIN(L13+M13+N13,Asumsi_Pajak!$B$12),0)</f>
        <v>10547000</v>
      </c>
      <c r="AA13" s="15">
        <f>ROUND(Z13*Asumsi_Pajak!$B$13,0)</f>
        <v>105470</v>
      </c>
      <c r="AB13" s="15">
        <f>MIN(ROUND(T13*Asumsi_Pajak!$B$5,0),Asumsi_Pajak!$B$6)</f>
        <v>500000</v>
      </c>
      <c r="AC13" s="15">
        <f t="shared" si="3"/>
        <v>15929030</v>
      </c>
      <c r="AD13" s="15">
        <f>VLOOKUP(I13,Asumsi_Pajak!$E$5:$F$12,2,FALSE())</f>
        <v>63000000</v>
      </c>
      <c r="AE13" s="16">
        <f>IF(J13="A",VLOOKUP(T13,Asumsi_Pajak!$J$5:$K$48,2,TRUE()),IF(J13="B",VLOOKUP(T13,Asumsi_Pajak!$M$5:$N$44,2,TRUE()),VLOOKUP(T13,Asumsi_Pajak!$P$5:$Q$45,2,TRUE())))</f>
        <v>7.0000000000000007E-2</v>
      </c>
      <c r="AF13" s="15">
        <f t="shared" si="4"/>
        <v>224608750</v>
      </c>
      <c r="AG13" s="15">
        <f>AF13-MIN(ROUND(AF13*Asumsi_Pajak!$B$5,0),Asumsi_Pajak!$B$7)-SUMIFS($Y$4:$Y$75,$D$4:$D$75,$D13,$A$4:$A$75,$A13)-SUMIFS($AA$4:$AA$75,$D$4:$D$75,$D13,$A$4:$A$75,$A13)</f>
        <v>213347110</v>
      </c>
      <c r="AH13" s="15">
        <f t="shared" si="5"/>
        <v>150347000</v>
      </c>
      <c r="AI13" s="15">
        <f t="shared" si="6"/>
        <v>16552050</v>
      </c>
      <c r="AJ13" s="15">
        <f t="shared" si="7"/>
        <v>1180725</v>
      </c>
      <c r="AK13" s="15">
        <f>ROUND(V13*Asumsi_Pajak!$B$10,0)</f>
        <v>480000</v>
      </c>
      <c r="AL13" s="15">
        <f>ROUND(X13*Asumsi_Pajak!$B$14,0)</f>
        <v>616050</v>
      </c>
      <c r="AM13" s="15">
        <f>ROUND(Z13*Asumsi_Pajak!$B$15,0)</f>
        <v>210940</v>
      </c>
      <c r="AN13" s="15">
        <f>ROUND(X13*VLOOKUP($D13,Master_Karyawan!$A$4:$Y$9,24,FALSE()),0)</f>
        <v>39960</v>
      </c>
      <c r="AO13" s="15">
        <f>ROUND(X13*Asumsi_Pajak!$B$16,0)</f>
        <v>49950</v>
      </c>
      <c r="AP13" s="15">
        <f t="shared" si="8"/>
        <v>19645125</v>
      </c>
      <c r="AQ13" s="15">
        <f t="shared" si="9"/>
        <v>15328305</v>
      </c>
    </row>
    <row r="14" spans="1:43" ht="14.4" x14ac:dyDescent="0.3">
      <c r="A14" s="18">
        <v>2026</v>
      </c>
      <c r="B14" s="18">
        <v>2</v>
      </c>
      <c r="C14" s="19">
        <v>46054</v>
      </c>
      <c r="D14" s="18" t="s">
        <v>92</v>
      </c>
      <c r="E14" s="12" t="str">
        <f>VLOOKUP($D14,Master_Karyawan!$A$4:$Y$9,4,FALSE())</f>
        <v>Rudi Hartono</v>
      </c>
      <c r="F14" s="12" t="str">
        <f>VLOOKUP($D14,Master_Karyawan!$A$4:$Y$9,11,FALSE())</f>
        <v>Operations</v>
      </c>
      <c r="G14" s="12" t="str">
        <f>VLOOKUP($D14,Master_Karyawan!$A$4:$Y$9,12,FALSE())</f>
        <v>Warehouse Lead</v>
      </c>
      <c r="H14" s="20">
        <f>VLOOKUP($D14,Master_Karyawan!$A$4:$Y$9,10,FALSE())</f>
        <v>44508</v>
      </c>
      <c r="I14" s="12" t="str">
        <f>VLOOKUP($D14,Master_Karyawan!$A$4:$Y$9,8,FALSE())</f>
        <v>K/0</v>
      </c>
      <c r="J14" s="12" t="str">
        <f>VLOOKUP($D14,Master_Karyawan!$A$4:$Y$9,9,FALSE())</f>
        <v>A</v>
      </c>
      <c r="K14" s="12">
        <f t="shared" si="0"/>
        <v>1</v>
      </c>
      <c r="L14" s="15">
        <f>IF($K14=1,VLOOKUP($D14,Master_Karyawan!$A$4:$Y$9,19,FALSE()),0)</f>
        <v>7500000</v>
      </c>
      <c r="M14" s="15">
        <f>IF($K14=1,VLOOKUP($D14,Master_Karyawan!$A$4:$Y$9,20,FALSE()),0)</f>
        <v>1000000</v>
      </c>
      <c r="N14" s="15">
        <f>IF($K14=1,VLOOKUP($D14,Master_Karyawan!$A$4:$Y$9,21,FALSE()),0)</f>
        <v>400000</v>
      </c>
      <c r="O14" s="21">
        <v>240000</v>
      </c>
      <c r="P14" s="21">
        <v>0</v>
      </c>
      <c r="Q14" s="21">
        <v>0</v>
      </c>
      <c r="R14" s="21">
        <v>250000</v>
      </c>
      <c r="S14" s="21">
        <v>0</v>
      </c>
      <c r="T14" s="15">
        <f t="shared" si="1"/>
        <v>9140000</v>
      </c>
      <c r="U14" s="15">
        <f t="shared" si="2"/>
        <v>9390000</v>
      </c>
      <c r="V14" s="15">
        <f>IF(AND($K14=1,VLOOKUP($D14,Master_Karyawan!$A$4:$Y$9,22,FALSE())="Y"),MIN(L14+M14+N14,Asumsi_Pajak!$B$8),0)</f>
        <v>8900000</v>
      </c>
      <c r="W14" s="15">
        <f>ROUND(V14*Asumsi_Pajak!$B$9,0)</f>
        <v>89000</v>
      </c>
      <c r="X14" s="15">
        <f>IF(AND($K14=1,VLOOKUP($D14,Master_Karyawan!$A$4:$Y$9,23,FALSE())="Y"),L14+M14+N14,0)</f>
        <v>8900000</v>
      </c>
      <c r="Y14" s="15">
        <f>ROUND(X14*Asumsi_Pajak!$B$11,0)</f>
        <v>178000</v>
      </c>
      <c r="Z14" s="15">
        <f>IF(AND($K14=1,VLOOKUP($D14,Master_Karyawan!$A$4:$Y$9,23,FALSE())="Y"),MIN(L14+M14+N14,Asumsi_Pajak!$B$12),0)</f>
        <v>8900000</v>
      </c>
      <c r="AA14" s="15">
        <f>ROUND(Z14*Asumsi_Pajak!$B$13,0)</f>
        <v>89000</v>
      </c>
      <c r="AB14" s="15">
        <f>MIN(ROUND(T14*Asumsi_Pajak!$B$5,0),Asumsi_Pajak!$B$6)</f>
        <v>457000</v>
      </c>
      <c r="AC14" s="15">
        <f t="shared" si="3"/>
        <v>8416000</v>
      </c>
      <c r="AD14" s="15">
        <f>VLOOKUP(I14,Asumsi_Pajak!$E$5:$F$12,2,FALSE())</f>
        <v>58500000</v>
      </c>
      <c r="AE14" s="16">
        <f>IF(J14="A",VLOOKUP(T14,Asumsi_Pajak!$J$5:$K$48,2,TRUE()),IF(J14="B",VLOOKUP(T14,Asumsi_Pajak!$M$5:$N$44,2,TRUE()),VLOOKUP(T14,Asumsi_Pajak!$P$5:$Q$45,2,TRUE())))</f>
        <v>1.7500000000000002E-2</v>
      </c>
      <c r="AF14" s="15">
        <f t="shared" si="4"/>
        <v>121845000</v>
      </c>
      <c r="AG14" s="15">
        <f>AF14-MIN(ROUND(AF14*Asumsi_Pajak!$B$5,0),Asumsi_Pajak!$B$7)-SUMIFS($Y$4:$Y$75,$D$4:$D$75,$D14,$A$4:$A$75,$A14)-SUMIFS($AA$4:$AA$75,$D$4:$D$75,$D14,$A$4:$A$75,$A14)</f>
        <v>112641000</v>
      </c>
      <c r="AH14" s="15">
        <f t="shared" si="5"/>
        <v>54141000</v>
      </c>
      <c r="AI14" s="15">
        <f t="shared" si="6"/>
        <v>2707050</v>
      </c>
      <c r="AJ14" s="15">
        <f t="shared" si="7"/>
        <v>159950</v>
      </c>
      <c r="AK14" s="15">
        <f>ROUND(V14*Asumsi_Pajak!$B$10,0)</f>
        <v>356000</v>
      </c>
      <c r="AL14" s="15">
        <f>ROUND(X14*Asumsi_Pajak!$B$14,0)</f>
        <v>329300</v>
      </c>
      <c r="AM14" s="15">
        <f>ROUND(Z14*Asumsi_Pajak!$B$15,0)</f>
        <v>178000</v>
      </c>
      <c r="AN14" s="15">
        <f>ROUND(X14*VLOOKUP($D14,Master_Karyawan!$A$4:$Y$9,24,FALSE()),0)</f>
        <v>48060</v>
      </c>
      <c r="AO14" s="15">
        <f>ROUND(X14*Asumsi_Pajak!$B$16,0)</f>
        <v>26700</v>
      </c>
      <c r="AP14" s="15">
        <f t="shared" si="8"/>
        <v>10488010</v>
      </c>
      <c r="AQ14" s="15">
        <f t="shared" si="9"/>
        <v>8874050</v>
      </c>
    </row>
    <row r="15" spans="1:43" ht="14.4" x14ac:dyDescent="0.3">
      <c r="A15" s="18">
        <v>2026</v>
      </c>
      <c r="B15" s="18">
        <v>2</v>
      </c>
      <c r="C15" s="19">
        <v>46054</v>
      </c>
      <c r="D15" s="18" t="s">
        <v>104</v>
      </c>
      <c r="E15" s="12" t="str">
        <f>VLOOKUP($D15,Master_Karyawan!$A$4:$Y$9,4,FALSE())</f>
        <v>Maya Putri</v>
      </c>
      <c r="F15" s="12" t="str">
        <f>VLOOKUP($D15,Master_Karyawan!$A$4:$Y$9,11,FALSE())</f>
        <v>Marketing</v>
      </c>
      <c r="G15" s="12" t="str">
        <f>VLOOKUP($D15,Master_Karyawan!$A$4:$Y$9,12,FALSE())</f>
        <v>Marketing Specialist</v>
      </c>
      <c r="H15" s="20">
        <f>VLOOKUP($D15,Master_Karyawan!$A$4:$Y$9,10,FALSE())</f>
        <v>45537</v>
      </c>
      <c r="I15" s="12" t="str">
        <f>VLOOKUP($D15,Master_Karyawan!$A$4:$Y$9,8,FALSE())</f>
        <v>TK/1</v>
      </c>
      <c r="J15" s="12" t="str">
        <f>VLOOKUP($D15,Master_Karyawan!$A$4:$Y$9,9,FALSE())</f>
        <v>A</v>
      </c>
      <c r="K15" s="12">
        <f t="shared" si="0"/>
        <v>1</v>
      </c>
      <c r="L15" s="15">
        <f>IF($K15=1,VLOOKUP($D15,Master_Karyawan!$A$4:$Y$9,19,FALSE()),0)</f>
        <v>12500000</v>
      </c>
      <c r="M15" s="15">
        <f>IF($K15=1,VLOOKUP($D15,Master_Karyawan!$A$4:$Y$9,20,FALSE()),0)</f>
        <v>2000000</v>
      </c>
      <c r="N15" s="15">
        <f>IF($K15=1,VLOOKUP($D15,Master_Karyawan!$A$4:$Y$9,21,FALSE()),0)</f>
        <v>600000</v>
      </c>
      <c r="O15" s="21">
        <v>262500</v>
      </c>
      <c r="P15" s="21">
        <v>0</v>
      </c>
      <c r="Q15" s="21">
        <v>0</v>
      </c>
      <c r="R15" s="21">
        <v>300000</v>
      </c>
      <c r="S15" s="21">
        <v>0</v>
      </c>
      <c r="T15" s="15">
        <f t="shared" si="1"/>
        <v>15362500</v>
      </c>
      <c r="U15" s="15">
        <f t="shared" si="2"/>
        <v>15662500</v>
      </c>
      <c r="V15" s="15">
        <f>IF(AND($K15=1,VLOOKUP($D15,Master_Karyawan!$A$4:$Y$9,22,FALSE())="Y"),MIN(L15+M15+N15,Asumsi_Pajak!$B$8),0)</f>
        <v>12000000</v>
      </c>
      <c r="W15" s="15">
        <f>ROUND(V15*Asumsi_Pajak!$B$9,0)</f>
        <v>120000</v>
      </c>
      <c r="X15" s="15">
        <f>IF(AND($K15=1,VLOOKUP($D15,Master_Karyawan!$A$4:$Y$9,23,FALSE())="Y"),L15+M15+N15,0)</f>
        <v>15100000</v>
      </c>
      <c r="Y15" s="15">
        <f>ROUND(X15*Asumsi_Pajak!$B$11,0)</f>
        <v>302000</v>
      </c>
      <c r="Z15" s="15">
        <f>IF(AND($K15=1,VLOOKUP($D15,Master_Karyawan!$A$4:$Y$9,23,FALSE())="Y"),MIN(L15+M15+N15,Asumsi_Pajak!$B$12),0)</f>
        <v>10547000</v>
      </c>
      <c r="AA15" s="15">
        <f>ROUND(Z15*Asumsi_Pajak!$B$13,0)</f>
        <v>105470</v>
      </c>
      <c r="AB15" s="15">
        <f>MIN(ROUND(T15*Asumsi_Pajak!$B$5,0),Asumsi_Pajak!$B$6)</f>
        <v>500000</v>
      </c>
      <c r="AC15" s="15">
        <f t="shared" si="3"/>
        <v>14455030</v>
      </c>
      <c r="AD15" s="15">
        <f>VLOOKUP(I15,Asumsi_Pajak!$E$5:$F$12,2,FALSE())</f>
        <v>58500000</v>
      </c>
      <c r="AE15" s="16">
        <f>IF(J15="A",VLOOKUP(T15,Asumsi_Pajak!$J$5:$K$48,2,TRUE()),IF(J15="B",VLOOKUP(T15,Asumsi_Pajak!$M$5:$N$44,2,TRUE()),VLOOKUP(T15,Asumsi_Pajak!$P$5:$Q$45,2,TRUE())))</f>
        <v>7.0000000000000007E-2</v>
      </c>
      <c r="AF15" s="15">
        <f t="shared" si="4"/>
        <v>205381250</v>
      </c>
      <c r="AG15" s="15">
        <f>AF15-MIN(ROUND(AF15*Asumsi_Pajak!$B$5,0),Asumsi_Pajak!$B$7)-SUMIFS($Y$4:$Y$75,$D$4:$D$75,$D15,$A$4:$A$75,$A15)-SUMIFS($AA$4:$AA$75,$D$4:$D$75,$D15,$A$4:$A$75,$A15)</f>
        <v>194491610</v>
      </c>
      <c r="AH15" s="15">
        <f t="shared" si="5"/>
        <v>135991000</v>
      </c>
      <c r="AI15" s="15">
        <f t="shared" si="6"/>
        <v>14398650</v>
      </c>
      <c r="AJ15" s="15">
        <f t="shared" si="7"/>
        <v>1075375</v>
      </c>
      <c r="AK15" s="15">
        <f>ROUND(V15*Asumsi_Pajak!$B$10,0)</f>
        <v>480000</v>
      </c>
      <c r="AL15" s="15">
        <f>ROUND(X15*Asumsi_Pajak!$B$14,0)</f>
        <v>558700</v>
      </c>
      <c r="AM15" s="15">
        <f>ROUND(Z15*Asumsi_Pajak!$B$15,0)</f>
        <v>210940</v>
      </c>
      <c r="AN15" s="15">
        <f>ROUND(X15*VLOOKUP($D15,Master_Karyawan!$A$4:$Y$9,24,FALSE()),0)</f>
        <v>36240</v>
      </c>
      <c r="AO15" s="15">
        <f>ROUND(X15*Asumsi_Pajak!$B$16,0)</f>
        <v>45300</v>
      </c>
      <c r="AP15" s="15">
        <f t="shared" si="8"/>
        <v>18069055</v>
      </c>
      <c r="AQ15" s="15">
        <f t="shared" si="9"/>
        <v>14059655</v>
      </c>
    </row>
    <row r="16" spans="1:43" ht="14.4" x14ac:dyDescent="0.3">
      <c r="A16" s="18">
        <v>2026</v>
      </c>
      <c r="B16" s="18">
        <v>3</v>
      </c>
      <c r="C16" s="19">
        <v>46082</v>
      </c>
      <c r="D16" s="18" t="s">
        <v>34</v>
      </c>
      <c r="E16" s="12" t="str">
        <f>VLOOKUP($D16,Master_Karyawan!$A$4:$Y$9,4,FALSE())</f>
        <v>Andi Pratama</v>
      </c>
      <c r="F16" s="12" t="str">
        <f>VLOOKUP($D16,Master_Karyawan!$A$4:$Y$9,11,FALSE())</f>
        <v>Sales</v>
      </c>
      <c r="G16" s="12" t="str">
        <f>VLOOKUP($D16,Master_Karyawan!$A$4:$Y$9,12,FALSE())</f>
        <v>Sales Executive</v>
      </c>
      <c r="H16" s="20">
        <f>VLOOKUP($D16,Master_Karyawan!$A$4:$Y$9,10,FALSE())</f>
        <v>45301</v>
      </c>
      <c r="I16" s="12" t="str">
        <f>VLOOKUP($D16,Master_Karyawan!$A$4:$Y$9,8,FALSE())</f>
        <v>TK/0</v>
      </c>
      <c r="J16" s="12" t="str">
        <f>VLOOKUP($D16,Master_Karyawan!$A$4:$Y$9,9,FALSE())</f>
        <v>A</v>
      </c>
      <c r="K16" s="12">
        <f t="shared" si="0"/>
        <v>1</v>
      </c>
      <c r="L16" s="15">
        <f>IF($K16=1,VLOOKUP($D16,Master_Karyawan!$A$4:$Y$9,19,FALSE()),0)</f>
        <v>8000000</v>
      </c>
      <c r="M16" s="15">
        <f>IF($K16=1,VLOOKUP($D16,Master_Karyawan!$A$4:$Y$9,20,FALSE()),0)</f>
        <v>1000000</v>
      </c>
      <c r="N16" s="15">
        <f>IF($K16=1,VLOOKUP($D16,Master_Karyawan!$A$4:$Y$9,21,FALSE()),0)</f>
        <v>500000</v>
      </c>
      <c r="O16" s="21">
        <v>250000</v>
      </c>
      <c r="P16" s="21">
        <v>0</v>
      </c>
      <c r="Q16" s="21">
        <v>9500000</v>
      </c>
      <c r="R16" s="21">
        <v>0</v>
      </c>
      <c r="S16" s="21">
        <v>0</v>
      </c>
      <c r="T16" s="15">
        <f t="shared" si="1"/>
        <v>19250000</v>
      </c>
      <c r="U16" s="15">
        <f t="shared" si="2"/>
        <v>19250000</v>
      </c>
      <c r="V16" s="15">
        <f>IF(AND($K16=1,VLOOKUP($D16,Master_Karyawan!$A$4:$Y$9,22,FALSE())="Y"),MIN(L16+M16+N16,Asumsi_Pajak!$B$8),0)</f>
        <v>9500000</v>
      </c>
      <c r="W16" s="15">
        <f>ROUND(V16*Asumsi_Pajak!$B$9,0)</f>
        <v>95000</v>
      </c>
      <c r="X16" s="15">
        <f>IF(AND($K16=1,VLOOKUP($D16,Master_Karyawan!$A$4:$Y$9,23,FALSE())="Y"),L16+M16+N16,0)</f>
        <v>9500000</v>
      </c>
      <c r="Y16" s="15">
        <f>ROUND(X16*Asumsi_Pajak!$B$11,0)</f>
        <v>190000</v>
      </c>
      <c r="Z16" s="15">
        <f>IF(AND($K16=1,VLOOKUP($D16,Master_Karyawan!$A$4:$Y$9,23,FALSE())="Y"),MIN(L16+M16+N16,Asumsi_Pajak!$B$12),0)</f>
        <v>9500000</v>
      </c>
      <c r="AA16" s="15">
        <f>ROUND(Z16*Asumsi_Pajak!$B$13,0)</f>
        <v>95000</v>
      </c>
      <c r="AB16" s="15">
        <f>MIN(ROUND(T16*Asumsi_Pajak!$B$5,0),Asumsi_Pajak!$B$6)</f>
        <v>500000</v>
      </c>
      <c r="AC16" s="15">
        <f t="shared" si="3"/>
        <v>18465000</v>
      </c>
      <c r="AD16" s="15">
        <f>VLOOKUP(I16,Asumsi_Pajak!$E$5:$F$12,2,FALSE())</f>
        <v>54000000</v>
      </c>
      <c r="AE16" s="16">
        <f>IF(J16="A",VLOOKUP(T16,Asumsi_Pajak!$J$5:$K$48,2,TRUE()),IF(J16="B",VLOOKUP(T16,Asumsi_Pajak!$M$5:$N$44,2,TRUE()),VLOOKUP(T16,Asumsi_Pajak!$P$5:$Q$45,2,TRUE())))</f>
        <v>0.08</v>
      </c>
      <c r="AF16" s="15">
        <f t="shared" si="4"/>
        <v>127625000</v>
      </c>
      <c r="AG16" s="15">
        <f>AF16-MIN(ROUND(AF16*Asumsi_Pajak!$B$5,0),Asumsi_Pajak!$B$7)-SUMIFS($Y$4:$Y$75,$D$4:$D$75,$D16,$A$4:$A$75,$A16)-SUMIFS($AA$4:$AA$75,$D$4:$D$75,$D16,$A$4:$A$75,$A16)</f>
        <v>118205000</v>
      </c>
      <c r="AH16" s="15">
        <f t="shared" si="5"/>
        <v>64205000</v>
      </c>
      <c r="AI16" s="15">
        <f t="shared" si="6"/>
        <v>3630750</v>
      </c>
      <c r="AJ16" s="15">
        <f t="shared" si="7"/>
        <v>1540000</v>
      </c>
      <c r="AK16" s="15">
        <f>ROUND(V16*Asumsi_Pajak!$B$10,0)</f>
        <v>380000</v>
      </c>
      <c r="AL16" s="15">
        <f>ROUND(X16*Asumsi_Pajak!$B$14,0)</f>
        <v>351500</v>
      </c>
      <c r="AM16" s="15">
        <f>ROUND(Z16*Asumsi_Pajak!$B$15,0)</f>
        <v>190000</v>
      </c>
      <c r="AN16" s="15">
        <f>ROUND(X16*VLOOKUP($D16,Master_Karyawan!$A$4:$Y$9,24,FALSE()),0)</f>
        <v>22800</v>
      </c>
      <c r="AO16" s="15">
        <f>ROUND(X16*Asumsi_Pajak!$B$16,0)</f>
        <v>28500</v>
      </c>
      <c r="AP16" s="15">
        <f t="shared" si="8"/>
        <v>21762800</v>
      </c>
      <c r="AQ16" s="15">
        <f t="shared" si="9"/>
        <v>17330000</v>
      </c>
    </row>
    <row r="17" spans="1:43" ht="14.4" x14ac:dyDescent="0.3">
      <c r="A17" s="18">
        <v>2026</v>
      </c>
      <c r="B17" s="18">
        <v>3</v>
      </c>
      <c r="C17" s="19">
        <v>46082</v>
      </c>
      <c r="D17" s="18" t="s">
        <v>52</v>
      </c>
      <c r="E17" s="12" t="str">
        <f>VLOOKUP($D17,Master_Karyawan!$A$4:$Y$9,4,FALSE())</f>
        <v>Siti Nurhaliza</v>
      </c>
      <c r="F17" s="12" t="str">
        <f>VLOOKUP($D17,Master_Karyawan!$A$4:$Y$9,11,FALSE())</f>
        <v>HR</v>
      </c>
      <c r="G17" s="12" t="str">
        <f>VLOOKUP($D17,Master_Karyawan!$A$4:$Y$9,12,FALSE())</f>
        <v>HR Officer</v>
      </c>
      <c r="H17" s="20">
        <f>VLOOKUP($D17,Master_Karyawan!$A$4:$Y$9,10,FALSE())</f>
        <v>45108</v>
      </c>
      <c r="I17" s="12" t="str">
        <f>VLOOKUP($D17,Master_Karyawan!$A$4:$Y$9,8,FALSE())</f>
        <v>K/1</v>
      </c>
      <c r="J17" s="12" t="str">
        <f>VLOOKUP($D17,Master_Karyawan!$A$4:$Y$9,9,FALSE())</f>
        <v>B</v>
      </c>
      <c r="K17" s="12">
        <f t="shared" si="0"/>
        <v>1</v>
      </c>
      <c r="L17" s="15">
        <f>IF($K17=1,VLOOKUP($D17,Master_Karyawan!$A$4:$Y$9,19,FALSE()),0)</f>
        <v>10500000</v>
      </c>
      <c r="M17" s="15">
        <f>IF($K17=1,VLOOKUP($D17,Master_Karyawan!$A$4:$Y$9,20,FALSE()),0)</f>
        <v>1500000</v>
      </c>
      <c r="N17" s="15">
        <f>IF($K17=1,VLOOKUP($D17,Master_Karyawan!$A$4:$Y$9,21,FALSE()),0)</f>
        <v>500000</v>
      </c>
      <c r="O17" s="21">
        <v>287500</v>
      </c>
      <c r="P17" s="21">
        <v>0</v>
      </c>
      <c r="Q17" s="21">
        <v>12500000</v>
      </c>
      <c r="R17" s="21">
        <v>0</v>
      </c>
      <c r="S17" s="21">
        <v>0</v>
      </c>
      <c r="T17" s="15">
        <f t="shared" si="1"/>
        <v>25287500</v>
      </c>
      <c r="U17" s="15">
        <f t="shared" si="2"/>
        <v>25287500</v>
      </c>
      <c r="V17" s="15">
        <f>IF(AND($K17=1,VLOOKUP($D17,Master_Karyawan!$A$4:$Y$9,22,FALSE())="Y"),MIN(L17+M17+N17,Asumsi_Pajak!$B$8),0)</f>
        <v>12000000</v>
      </c>
      <c r="W17" s="15">
        <f>ROUND(V17*Asumsi_Pajak!$B$9,0)</f>
        <v>120000</v>
      </c>
      <c r="X17" s="15">
        <f>IF(AND($K17=1,VLOOKUP($D17,Master_Karyawan!$A$4:$Y$9,23,FALSE())="Y"),L17+M17+N17,0)</f>
        <v>12500000</v>
      </c>
      <c r="Y17" s="15">
        <f>ROUND(X17*Asumsi_Pajak!$B$11,0)</f>
        <v>250000</v>
      </c>
      <c r="Z17" s="15">
        <f>IF(AND($K17=1,VLOOKUP($D17,Master_Karyawan!$A$4:$Y$9,23,FALSE())="Y"),MIN(L17+M17+N17,Asumsi_Pajak!$B$12),0)</f>
        <v>10547000</v>
      </c>
      <c r="AA17" s="15">
        <f>ROUND(Z17*Asumsi_Pajak!$B$13,0)</f>
        <v>105470</v>
      </c>
      <c r="AB17" s="15">
        <f>MIN(ROUND(T17*Asumsi_Pajak!$B$5,0),Asumsi_Pajak!$B$6)</f>
        <v>500000</v>
      </c>
      <c r="AC17" s="15">
        <f t="shared" si="3"/>
        <v>24432030</v>
      </c>
      <c r="AD17" s="15">
        <f>VLOOKUP(I17,Asumsi_Pajak!$E$5:$F$12,2,FALSE())</f>
        <v>63000000</v>
      </c>
      <c r="AE17" s="16">
        <f>IF(J17="A",VLOOKUP(T17,Asumsi_Pajak!$J$5:$K$48,2,TRUE()),IF(J17="B",VLOOKUP(T17,Asumsi_Pajak!$M$5:$N$44,2,TRUE()),VLOOKUP(T17,Asumsi_Pajak!$P$5:$Q$45,2,TRUE())))</f>
        <v>0.09</v>
      </c>
      <c r="AF17" s="15">
        <f t="shared" si="4"/>
        <v>168016246</v>
      </c>
      <c r="AG17" s="15">
        <f>AF17-MIN(ROUND(AF17*Asumsi_Pajak!$B$5,0),Asumsi_Pajak!$B$7)-SUMIFS($Y$4:$Y$75,$D$4:$D$75,$D17,$A$4:$A$75,$A17)-SUMIFS($AA$4:$AA$75,$D$4:$D$75,$D17,$A$4:$A$75,$A17)</f>
        <v>157750606</v>
      </c>
      <c r="AH17" s="15">
        <f t="shared" si="5"/>
        <v>94750000</v>
      </c>
      <c r="AI17" s="15">
        <f t="shared" si="6"/>
        <v>8212500</v>
      </c>
      <c r="AJ17" s="15">
        <f t="shared" si="7"/>
        <v>2275875</v>
      </c>
      <c r="AK17" s="15">
        <f>ROUND(V17*Asumsi_Pajak!$B$10,0)</f>
        <v>480000</v>
      </c>
      <c r="AL17" s="15">
        <f>ROUND(X17*Asumsi_Pajak!$B$14,0)</f>
        <v>462500</v>
      </c>
      <c r="AM17" s="15">
        <f>ROUND(Z17*Asumsi_Pajak!$B$15,0)</f>
        <v>210940</v>
      </c>
      <c r="AN17" s="15">
        <f>ROUND(X17*VLOOKUP($D17,Master_Karyawan!$A$4:$Y$9,24,FALSE()),0)</f>
        <v>30000</v>
      </c>
      <c r="AO17" s="15">
        <f>ROUND(X17*Asumsi_Pajak!$B$16,0)</f>
        <v>37500</v>
      </c>
      <c r="AP17" s="15">
        <f t="shared" si="8"/>
        <v>28784315</v>
      </c>
      <c r="AQ17" s="15">
        <f t="shared" si="9"/>
        <v>22536155</v>
      </c>
    </row>
    <row r="18" spans="1:43" ht="14.4" x14ac:dyDescent="0.3">
      <c r="A18" s="18">
        <v>2026</v>
      </c>
      <c r="B18" s="18">
        <v>3</v>
      </c>
      <c r="C18" s="19">
        <v>46082</v>
      </c>
      <c r="D18" s="18" t="s">
        <v>67</v>
      </c>
      <c r="E18" s="12" t="str">
        <f>VLOOKUP($D18,Master_Karyawan!$A$4:$Y$9,4,FALSE())</f>
        <v>Budi Santoso</v>
      </c>
      <c r="F18" s="12" t="str">
        <f>VLOOKUP($D18,Master_Karyawan!$A$4:$Y$9,11,FALSE())</f>
        <v>IT</v>
      </c>
      <c r="G18" s="12" t="str">
        <f>VLOOKUP($D18,Master_Karyawan!$A$4:$Y$9,12,FALSE())</f>
        <v>IT Supervisor</v>
      </c>
      <c r="H18" s="20">
        <f>VLOOKUP($D18,Master_Karyawan!$A$4:$Y$9,10,FALSE())</f>
        <v>44697</v>
      </c>
      <c r="I18" s="12" t="str">
        <f>VLOOKUP($D18,Master_Karyawan!$A$4:$Y$9,8,FALSE())</f>
        <v>K/3</v>
      </c>
      <c r="J18" s="12" t="str">
        <f>VLOOKUP($D18,Master_Karyawan!$A$4:$Y$9,9,FALSE())</f>
        <v>C</v>
      </c>
      <c r="K18" s="12">
        <f t="shared" si="0"/>
        <v>1</v>
      </c>
      <c r="L18" s="15">
        <f>IF($K18=1,VLOOKUP($D18,Master_Karyawan!$A$4:$Y$9,19,FALSE()),0)</f>
        <v>18000000</v>
      </c>
      <c r="M18" s="15">
        <f>IF($K18=1,VLOOKUP($D18,Master_Karyawan!$A$4:$Y$9,20,FALSE()),0)</f>
        <v>3000000</v>
      </c>
      <c r="N18" s="15">
        <f>IF($K18=1,VLOOKUP($D18,Master_Karyawan!$A$4:$Y$9,21,FALSE()),0)</f>
        <v>750000</v>
      </c>
      <c r="O18" s="21">
        <v>325000</v>
      </c>
      <c r="P18" s="21">
        <v>0</v>
      </c>
      <c r="Q18" s="21">
        <v>21750000</v>
      </c>
      <c r="R18" s="21">
        <v>0</v>
      </c>
      <c r="S18" s="21">
        <v>0</v>
      </c>
      <c r="T18" s="15">
        <f t="shared" si="1"/>
        <v>43825000</v>
      </c>
      <c r="U18" s="15">
        <f t="shared" si="2"/>
        <v>43825000</v>
      </c>
      <c r="V18" s="15">
        <f>IF(AND($K18=1,VLOOKUP($D18,Master_Karyawan!$A$4:$Y$9,22,FALSE())="Y"),MIN(L18+M18+N18,Asumsi_Pajak!$B$8),0)</f>
        <v>12000000</v>
      </c>
      <c r="W18" s="15">
        <f>ROUND(V18*Asumsi_Pajak!$B$9,0)</f>
        <v>120000</v>
      </c>
      <c r="X18" s="15">
        <f>IF(AND($K18=1,VLOOKUP($D18,Master_Karyawan!$A$4:$Y$9,23,FALSE())="Y"),L18+M18+N18,0)</f>
        <v>21750000</v>
      </c>
      <c r="Y18" s="15">
        <f>ROUND(X18*Asumsi_Pajak!$B$11,0)</f>
        <v>435000</v>
      </c>
      <c r="Z18" s="15">
        <f>IF(AND($K18=1,VLOOKUP($D18,Master_Karyawan!$A$4:$Y$9,23,FALSE())="Y"),MIN(L18+M18+N18,Asumsi_Pajak!$B$12),0)</f>
        <v>10547000</v>
      </c>
      <c r="AA18" s="15">
        <f>ROUND(Z18*Asumsi_Pajak!$B$13,0)</f>
        <v>105470</v>
      </c>
      <c r="AB18" s="15">
        <f>MIN(ROUND(T18*Asumsi_Pajak!$B$5,0),Asumsi_Pajak!$B$6)</f>
        <v>500000</v>
      </c>
      <c r="AC18" s="15">
        <f t="shared" si="3"/>
        <v>42784530</v>
      </c>
      <c r="AD18" s="15">
        <f>VLOOKUP(I18,Asumsi_Pajak!$E$5:$F$12,2,FALSE())</f>
        <v>72000000</v>
      </c>
      <c r="AE18" s="16">
        <f>IF(J18="A",VLOOKUP(T18,Asumsi_Pajak!$J$5:$K$48,2,TRUE()),IF(J18="B",VLOOKUP(T18,Asumsi_Pajak!$M$5:$N$44,2,TRUE()),VLOOKUP(T18,Asumsi_Pajak!$P$5:$Q$45,2,TRUE())))</f>
        <v>0.16</v>
      </c>
      <c r="AF18" s="15">
        <f t="shared" si="4"/>
        <v>291697500</v>
      </c>
      <c r="AG18" s="15">
        <f>AF18-MIN(ROUND(AF18*Asumsi_Pajak!$B$5,0),Asumsi_Pajak!$B$7)-SUMIFS($Y$4:$Y$75,$D$4:$D$75,$D18,$A$4:$A$75,$A18)-SUMIFS($AA$4:$AA$75,$D$4:$D$75,$D18,$A$4:$A$75,$A18)</f>
        <v>279211860</v>
      </c>
      <c r="AH18" s="15">
        <f t="shared" si="5"/>
        <v>207211000</v>
      </c>
      <c r="AI18" s="15">
        <f t="shared" si="6"/>
        <v>25081650</v>
      </c>
      <c r="AJ18" s="15">
        <f t="shared" si="7"/>
        <v>7012000</v>
      </c>
      <c r="AK18" s="15">
        <f>ROUND(V18*Asumsi_Pajak!$B$10,0)</f>
        <v>480000</v>
      </c>
      <c r="AL18" s="15">
        <f>ROUND(X18*Asumsi_Pajak!$B$14,0)</f>
        <v>804750</v>
      </c>
      <c r="AM18" s="15">
        <f>ROUND(Z18*Asumsi_Pajak!$B$15,0)</f>
        <v>210940</v>
      </c>
      <c r="AN18" s="15">
        <f>ROUND(X18*VLOOKUP($D18,Master_Karyawan!$A$4:$Y$9,24,FALSE()),0)</f>
        <v>117450</v>
      </c>
      <c r="AO18" s="15">
        <f>ROUND(X18*Asumsi_Pajak!$B$16,0)</f>
        <v>65250</v>
      </c>
      <c r="AP18" s="15">
        <f t="shared" si="8"/>
        <v>52515390</v>
      </c>
      <c r="AQ18" s="15">
        <f t="shared" si="9"/>
        <v>36152530</v>
      </c>
    </row>
    <row r="19" spans="1:43" ht="14.4" x14ac:dyDescent="0.3">
      <c r="A19" s="18">
        <v>2026</v>
      </c>
      <c r="B19" s="18">
        <v>3</v>
      </c>
      <c r="C19" s="19">
        <v>46082</v>
      </c>
      <c r="D19" s="18" t="s">
        <v>80</v>
      </c>
      <c r="E19" s="12" t="str">
        <f>VLOOKUP($D19,Master_Karyawan!$A$4:$Y$9,4,FALSE())</f>
        <v>Dewi Lestari</v>
      </c>
      <c r="F19" s="12" t="str">
        <f>VLOOKUP($D19,Master_Karyawan!$A$4:$Y$9,11,FALSE())</f>
        <v>Finance</v>
      </c>
      <c r="G19" s="12" t="str">
        <f>VLOOKUP($D19,Master_Karyawan!$A$4:$Y$9,12,FALSE())</f>
        <v>Finance Analyst</v>
      </c>
      <c r="H19" s="20">
        <f>VLOOKUP($D19,Master_Karyawan!$A$4:$Y$9,10,FALSE())</f>
        <v>45689</v>
      </c>
      <c r="I19" s="12" t="str">
        <f>VLOOKUP($D19,Master_Karyawan!$A$4:$Y$9,8,FALSE())</f>
        <v>TK/2</v>
      </c>
      <c r="J19" s="12" t="str">
        <f>VLOOKUP($D19,Master_Karyawan!$A$4:$Y$9,9,FALSE())</f>
        <v>B</v>
      </c>
      <c r="K19" s="12">
        <f t="shared" si="0"/>
        <v>1</v>
      </c>
      <c r="L19" s="15">
        <f>IF($K19=1,VLOOKUP($D19,Master_Karyawan!$A$4:$Y$9,19,FALSE()),0)</f>
        <v>14000000</v>
      </c>
      <c r="M19" s="15">
        <f>IF($K19=1,VLOOKUP($D19,Master_Karyawan!$A$4:$Y$9,20,FALSE()),0)</f>
        <v>2000000</v>
      </c>
      <c r="N19" s="15">
        <f>IF($K19=1,VLOOKUP($D19,Master_Karyawan!$A$4:$Y$9,21,FALSE()),0)</f>
        <v>650000</v>
      </c>
      <c r="O19" s="21">
        <v>362500</v>
      </c>
      <c r="P19" s="21">
        <v>0</v>
      </c>
      <c r="Q19" s="21">
        <v>16650000</v>
      </c>
      <c r="R19" s="21">
        <v>0</v>
      </c>
      <c r="S19" s="21">
        <v>0</v>
      </c>
      <c r="T19" s="15">
        <f t="shared" si="1"/>
        <v>33662500</v>
      </c>
      <c r="U19" s="15">
        <f t="shared" si="2"/>
        <v>33662500</v>
      </c>
      <c r="V19" s="15">
        <f>IF(AND($K19=1,VLOOKUP($D19,Master_Karyawan!$A$4:$Y$9,22,FALSE())="Y"),MIN(L19+M19+N19,Asumsi_Pajak!$B$8),0)</f>
        <v>12000000</v>
      </c>
      <c r="W19" s="15">
        <f>ROUND(V19*Asumsi_Pajak!$B$9,0)</f>
        <v>120000</v>
      </c>
      <c r="X19" s="15">
        <f>IF(AND($K19=1,VLOOKUP($D19,Master_Karyawan!$A$4:$Y$9,23,FALSE())="Y"),L19+M19+N19,0)</f>
        <v>16650000</v>
      </c>
      <c r="Y19" s="15">
        <f>ROUND(X19*Asumsi_Pajak!$B$11,0)</f>
        <v>333000</v>
      </c>
      <c r="Z19" s="15">
        <f>IF(AND($K19=1,VLOOKUP($D19,Master_Karyawan!$A$4:$Y$9,23,FALSE())="Y"),MIN(L19+M19+N19,Asumsi_Pajak!$B$12),0)</f>
        <v>10547000</v>
      </c>
      <c r="AA19" s="15">
        <f>ROUND(Z19*Asumsi_Pajak!$B$13,0)</f>
        <v>105470</v>
      </c>
      <c r="AB19" s="15">
        <f>MIN(ROUND(T19*Asumsi_Pajak!$B$5,0),Asumsi_Pajak!$B$6)</f>
        <v>500000</v>
      </c>
      <c r="AC19" s="15">
        <f t="shared" si="3"/>
        <v>32724030</v>
      </c>
      <c r="AD19" s="15">
        <f>VLOOKUP(I19,Asumsi_Pajak!$E$5:$F$12,2,FALSE())</f>
        <v>63000000</v>
      </c>
      <c r="AE19" s="16">
        <f>IF(J19="A",VLOOKUP(T19,Asumsi_Pajak!$J$5:$K$48,2,TRUE()),IF(J19="B",VLOOKUP(T19,Asumsi_Pajak!$M$5:$N$44,2,TRUE()),VLOOKUP(T19,Asumsi_Pajak!$P$5:$Q$45,2,TRUE())))</f>
        <v>0.13</v>
      </c>
      <c r="AF19" s="15">
        <f t="shared" si="4"/>
        <v>224608750</v>
      </c>
      <c r="AG19" s="15">
        <f>AF19-MIN(ROUND(AF19*Asumsi_Pajak!$B$5,0),Asumsi_Pajak!$B$7)-SUMIFS($Y$4:$Y$75,$D$4:$D$75,$D19,$A$4:$A$75,$A19)-SUMIFS($AA$4:$AA$75,$D$4:$D$75,$D19,$A$4:$A$75,$A19)</f>
        <v>213347110</v>
      </c>
      <c r="AH19" s="15">
        <f t="shared" si="5"/>
        <v>150347000</v>
      </c>
      <c r="AI19" s="15">
        <f t="shared" si="6"/>
        <v>16552050</v>
      </c>
      <c r="AJ19" s="15">
        <f t="shared" si="7"/>
        <v>4376125</v>
      </c>
      <c r="AK19" s="15">
        <f>ROUND(V19*Asumsi_Pajak!$B$10,0)</f>
        <v>480000</v>
      </c>
      <c r="AL19" s="15">
        <f>ROUND(X19*Asumsi_Pajak!$B$14,0)</f>
        <v>616050</v>
      </c>
      <c r="AM19" s="15">
        <f>ROUND(Z19*Asumsi_Pajak!$B$15,0)</f>
        <v>210940</v>
      </c>
      <c r="AN19" s="15">
        <f>ROUND(X19*VLOOKUP($D19,Master_Karyawan!$A$4:$Y$9,24,FALSE()),0)</f>
        <v>39960</v>
      </c>
      <c r="AO19" s="15">
        <f>ROUND(X19*Asumsi_Pajak!$B$16,0)</f>
        <v>49950</v>
      </c>
      <c r="AP19" s="15">
        <f t="shared" si="8"/>
        <v>39435525</v>
      </c>
      <c r="AQ19" s="15">
        <f t="shared" si="9"/>
        <v>28727905</v>
      </c>
    </row>
    <row r="20" spans="1:43" ht="14.4" x14ac:dyDescent="0.3">
      <c r="A20" s="18">
        <v>2026</v>
      </c>
      <c r="B20" s="18">
        <v>3</v>
      </c>
      <c r="C20" s="19">
        <v>46082</v>
      </c>
      <c r="D20" s="18" t="s">
        <v>92</v>
      </c>
      <c r="E20" s="12" t="str">
        <f>VLOOKUP($D20,Master_Karyawan!$A$4:$Y$9,4,FALSE())</f>
        <v>Rudi Hartono</v>
      </c>
      <c r="F20" s="12" t="str">
        <f>VLOOKUP($D20,Master_Karyawan!$A$4:$Y$9,11,FALSE())</f>
        <v>Operations</v>
      </c>
      <c r="G20" s="12" t="str">
        <f>VLOOKUP($D20,Master_Karyawan!$A$4:$Y$9,12,FALSE())</f>
        <v>Warehouse Lead</v>
      </c>
      <c r="H20" s="20">
        <f>VLOOKUP($D20,Master_Karyawan!$A$4:$Y$9,10,FALSE())</f>
        <v>44508</v>
      </c>
      <c r="I20" s="12" t="str">
        <f>VLOOKUP($D20,Master_Karyawan!$A$4:$Y$9,8,FALSE())</f>
        <v>K/0</v>
      </c>
      <c r="J20" s="12" t="str">
        <f>VLOOKUP($D20,Master_Karyawan!$A$4:$Y$9,9,FALSE())</f>
        <v>A</v>
      </c>
      <c r="K20" s="12">
        <f t="shared" si="0"/>
        <v>1</v>
      </c>
      <c r="L20" s="15">
        <f>IF($K20=1,VLOOKUP($D20,Master_Karyawan!$A$4:$Y$9,19,FALSE()),0)</f>
        <v>7500000</v>
      </c>
      <c r="M20" s="15">
        <f>IF($K20=1,VLOOKUP($D20,Master_Karyawan!$A$4:$Y$9,20,FALSE()),0)</f>
        <v>1000000</v>
      </c>
      <c r="N20" s="15">
        <f>IF($K20=1,VLOOKUP($D20,Master_Karyawan!$A$4:$Y$9,21,FALSE()),0)</f>
        <v>400000</v>
      </c>
      <c r="O20" s="21">
        <v>400000</v>
      </c>
      <c r="P20" s="21">
        <v>0</v>
      </c>
      <c r="Q20" s="21">
        <v>8900000</v>
      </c>
      <c r="R20" s="21">
        <v>0</v>
      </c>
      <c r="S20" s="21">
        <v>0</v>
      </c>
      <c r="T20" s="15">
        <f t="shared" si="1"/>
        <v>18200000</v>
      </c>
      <c r="U20" s="15">
        <f t="shared" si="2"/>
        <v>18200000</v>
      </c>
      <c r="V20" s="15">
        <f>IF(AND($K20=1,VLOOKUP($D20,Master_Karyawan!$A$4:$Y$9,22,FALSE())="Y"),MIN(L20+M20+N20,Asumsi_Pajak!$B$8),0)</f>
        <v>8900000</v>
      </c>
      <c r="W20" s="15">
        <f>ROUND(V20*Asumsi_Pajak!$B$9,0)</f>
        <v>89000</v>
      </c>
      <c r="X20" s="15">
        <f>IF(AND($K20=1,VLOOKUP($D20,Master_Karyawan!$A$4:$Y$9,23,FALSE())="Y"),L20+M20+N20,0)</f>
        <v>8900000</v>
      </c>
      <c r="Y20" s="15">
        <f>ROUND(X20*Asumsi_Pajak!$B$11,0)</f>
        <v>178000</v>
      </c>
      <c r="Z20" s="15">
        <f>IF(AND($K20=1,VLOOKUP($D20,Master_Karyawan!$A$4:$Y$9,23,FALSE())="Y"),MIN(L20+M20+N20,Asumsi_Pajak!$B$12),0)</f>
        <v>8900000</v>
      </c>
      <c r="AA20" s="15">
        <f>ROUND(Z20*Asumsi_Pajak!$B$13,0)</f>
        <v>89000</v>
      </c>
      <c r="AB20" s="15">
        <f>MIN(ROUND(T20*Asumsi_Pajak!$B$5,0),Asumsi_Pajak!$B$6)</f>
        <v>500000</v>
      </c>
      <c r="AC20" s="15">
        <f t="shared" si="3"/>
        <v>17433000</v>
      </c>
      <c r="AD20" s="15">
        <f>VLOOKUP(I20,Asumsi_Pajak!$E$5:$F$12,2,FALSE())</f>
        <v>58500000</v>
      </c>
      <c r="AE20" s="16">
        <f>IF(J20="A",VLOOKUP(T20,Asumsi_Pajak!$J$5:$K$48,2,TRUE()),IF(J20="B",VLOOKUP(T20,Asumsi_Pajak!$M$5:$N$44,2,TRUE()),VLOOKUP(T20,Asumsi_Pajak!$P$5:$Q$45,2,TRUE())))</f>
        <v>0.08</v>
      </c>
      <c r="AF20" s="15">
        <f t="shared" si="4"/>
        <v>121845000</v>
      </c>
      <c r="AG20" s="15">
        <f>AF20-MIN(ROUND(AF20*Asumsi_Pajak!$B$5,0),Asumsi_Pajak!$B$7)-SUMIFS($Y$4:$Y$75,$D$4:$D$75,$D20,$A$4:$A$75,$A20)-SUMIFS($AA$4:$AA$75,$D$4:$D$75,$D20,$A$4:$A$75,$A20)</f>
        <v>112641000</v>
      </c>
      <c r="AH20" s="15">
        <f t="shared" si="5"/>
        <v>54141000</v>
      </c>
      <c r="AI20" s="15">
        <f t="shared" si="6"/>
        <v>2707050</v>
      </c>
      <c r="AJ20" s="15">
        <f t="shared" si="7"/>
        <v>1456000</v>
      </c>
      <c r="AK20" s="15">
        <f>ROUND(V20*Asumsi_Pajak!$B$10,0)</f>
        <v>356000</v>
      </c>
      <c r="AL20" s="15">
        <f>ROUND(X20*Asumsi_Pajak!$B$14,0)</f>
        <v>329300</v>
      </c>
      <c r="AM20" s="15">
        <f>ROUND(Z20*Asumsi_Pajak!$B$15,0)</f>
        <v>178000</v>
      </c>
      <c r="AN20" s="15">
        <f>ROUND(X20*VLOOKUP($D20,Master_Karyawan!$A$4:$Y$9,24,FALSE()),0)</f>
        <v>48060</v>
      </c>
      <c r="AO20" s="15">
        <f>ROUND(X20*Asumsi_Pajak!$B$16,0)</f>
        <v>26700</v>
      </c>
      <c r="AP20" s="15">
        <f t="shared" si="8"/>
        <v>20594060</v>
      </c>
      <c r="AQ20" s="15">
        <f t="shared" si="9"/>
        <v>16388000</v>
      </c>
    </row>
    <row r="21" spans="1:43" ht="14.4" x14ac:dyDescent="0.3">
      <c r="A21" s="18">
        <v>2026</v>
      </c>
      <c r="B21" s="18">
        <v>3</v>
      </c>
      <c r="C21" s="19">
        <v>46082</v>
      </c>
      <c r="D21" s="18" t="s">
        <v>104</v>
      </c>
      <c r="E21" s="12" t="str">
        <f>VLOOKUP($D21,Master_Karyawan!$A$4:$Y$9,4,FALSE())</f>
        <v>Maya Putri</v>
      </c>
      <c r="F21" s="12" t="str">
        <f>VLOOKUP($D21,Master_Karyawan!$A$4:$Y$9,11,FALSE())</f>
        <v>Marketing</v>
      </c>
      <c r="G21" s="12" t="str">
        <f>VLOOKUP($D21,Master_Karyawan!$A$4:$Y$9,12,FALSE())</f>
        <v>Marketing Specialist</v>
      </c>
      <c r="H21" s="20">
        <f>VLOOKUP($D21,Master_Karyawan!$A$4:$Y$9,10,FALSE())</f>
        <v>45537</v>
      </c>
      <c r="I21" s="12" t="str">
        <f>VLOOKUP($D21,Master_Karyawan!$A$4:$Y$9,8,FALSE())</f>
        <v>TK/1</v>
      </c>
      <c r="J21" s="12" t="str">
        <f>VLOOKUP($D21,Master_Karyawan!$A$4:$Y$9,9,FALSE())</f>
        <v>A</v>
      </c>
      <c r="K21" s="12">
        <f t="shared" si="0"/>
        <v>1</v>
      </c>
      <c r="L21" s="15">
        <f>IF($K21=1,VLOOKUP($D21,Master_Karyawan!$A$4:$Y$9,19,FALSE()),0)</f>
        <v>12500000</v>
      </c>
      <c r="M21" s="15">
        <f>IF($K21=1,VLOOKUP($D21,Master_Karyawan!$A$4:$Y$9,20,FALSE()),0)</f>
        <v>2000000</v>
      </c>
      <c r="N21" s="15">
        <f>IF($K21=1,VLOOKUP($D21,Master_Karyawan!$A$4:$Y$9,21,FALSE()),0)</f>
        <v>600000</v>
      </c>
      <c r="O21" s="21">
        <v>437500</v>
      </c>
      <c r="P21" s="21">
        <v>0</v>
      </c>
      <c r="Q21" s="21">
        <v>15100000</v>
      </c>
      <c r="R21" s="21">
        <v>0</v>
      </c>
      <c r="S21" s="21">
        <v>0</v>
      </c>
      <c r="T21" s="15">
        <f t="shared" si="1"/>
        <v>30637500</v>
      </c>
      <c r="U21" s="15">
        <f t="shared" si="2"/>
        <v>30637500</v>
      </c>
      <c r="V21" s="15">
        <f>IF(AND($K21=1,VLOOKUP($D21,Master_Karyawan!$A$4:$Y$9,22,FALSE())="Y"),MIN(L21+M21+N21,Asumsi_Pajak!$B$8),0)</f>
        <v>12000000</v>
      </c>
      <c r="W21" s="15">
        <f>ROUND(V21*Asumsi_Pajak!$B$9,0)</f>
        <v>120000</v>
      </c>
      <c r="X21" s="15">
        <f>IF(AND($K21=1,VLOOKUP($D21,Master_Karyawan!$A$4:$Y$9,23,FALSE())="Y"),L21+M21+N21,0)</f>
        <v>15100000</v>
      </c>
      <c r="Y21" s="15">
        <f>ROUND(X21*Asumsi_Pajak!$B$11,0)</f>
        <v>302000</v>
      </c>
      <c r="Z21" s="15">
        <f>IF(AND($K21=1,VLOOKUP($D21,Master_Karyawan!$A$4:$Y$9,23,FALSE())="Y"),MIN(L21+M21+N21,Asumsi_Pajak!$B$12),0)</f>
        <v>10547000</v>
      </c>
      <c r="AA21" s="15">
        <f>ROUND(Z21*Asumsi_Pajak!$B$13,0)</f>
        <v>105470</v>
      </c>
      <c r="AB21" s="15">
        <f>MIN(ROUND(T21*Asumsi_Pajak!$B$5,0),Asumsi_Pajak!$B$6)</f>
        <v>500000</v>
      </c>
      <c r="AC21" s="15">
        <f t="shared" si="3"/>
        <v>29730030</v>
      </c>
      <c r="AD21" s="15">
        <f>VLOOKUP(I21,Asumsi_Pajak!$E$5:$F$12,2,FALSE())</f>
        <v>58500000</v>
      </c>
      <c r="AE21" s="16">
        <f>IF(J21="A",VLOOKUP(T21,Asumsi_Pajak!$J$5:$K$48,2,TRUE()),IF(J21="B",VLOOKUP(T21,Asumsi_Pajak!$M$5:$N$44,2,TRUE()),VLOOKUP(T21,Asumsi_Pajak!$P$5:$Q$45,2,TRUE())))</f>
        <v>0.13</v>
      </c>
      <c r="AF21" s="15">
        <f t="shared" si="4"/>
        <v>205381250</v>
      </c>
      <c r="AG21" s="15">
        <f>AF21-MIN(ROUND(AF21*Asumsi_Pajak!$B$5,0),Asumsi_Pajak!$B$7)-SUMIFS($Y$4:$Y$75,$D$4:$D$75,$D21,$A$4:$A$75,$A21)-SUMIFS($AA$4:$AA$75,$D$4:$D$75,$D21,$A$4:$A$75,$A21)</f>
        <v>194491610</v>
      </c>
      <c r="AH21" s="15">
        <f t="shared" si="5"/>
        <v>135991000</v>
      </c>
      <c r="AI21" s="15">
        <f t="shared" si="6"/>
        <v>14398650</v>
      </c>
      <c r="AJ21" s="15">
        <f t="shared" si="7"/>
        <v>3982875</v>
      </c>
      <c r="AK21" s="15">
        <f>ROUND(V21*Asumsi_Pajak!$B$10,0)</f>
        <v>480000</v>
      </c>
      <c r="AL21" s="15">
        <f>ROUND(X21*Asumsi_Pajak!$B$14,0)</f>
        <v>558700</v>
      </c>
      <c r="AM21" s="15">
        <f>ROUND(Z21*Asumsi_Pajak!$B$15,0)</f>
        <v>210940</v>
      </c>
      <c r="AN21" s="15">
        <f>ROUND(X21*VLOOKUP($D21,Master_Karyawan!$A$4:$Y$9,24,FALSE()),0)</f>
        <v>36240</v>
      </c>
      <c r="AO21" s="15">
        <f>ROUND(X21*Asumsi_Pajak!$B$16,0)</f>
        <v>45300</v>
      </c>
      <c r="AP21" s="15">
        <f t="shared" si="8"/>
        <v>35951555</v>
      </c>
      <c r="AQ21" s="15">
        <f t="shared" si="9"/>
        <v>26127155</v>
      </c>
    </row>
    <row r="22" spans="1:43" ht="14.4" x14ac:dyDescent="0.3">
      <c r="A22" s="18">
        <v>2026</v>
      </c>
      <c r="B22" s="18">
        <v>4</v>
      </c>
      <c r="C22" s="19">
        <v>46113</v>
      </c>
      <c r="D22" s="18" t="s">
        <v>34</v>
      </c>
      <c r="E22" s="12" t="str">
        <f>VLOOKUP($D22,Master_Karyawan!$A$4:$Y$9,4,FALSE())</f>
        <v>Andi Pratama</v>
      </c>
      <c r="F22" s="12" t="str">
        <f>VLOOKUP($D22,Master_Karyawan!$A$4:$Y$9,11,FALSE())</f>
        <v>Sales</v>
      </c>
      <c r="G22" s="12" t="str">
        <f>VLOOKUP($D22,Master_Karyawan!$A$4:$Y$9,12,FALSE())</f>
        <v>Sales Executive</v>
      </c>
      <c r="H22" s="20">
        <f>VLOOKUP($D22,Master_Karyawan!$A$4:$Y$9,10,FALSE())</f>
        <v>45301</v>
      </c>
      <c r="I22" s="12" t="str">
        <f>VLOOKUP($D22,Master_Karyawan!$A$4:$Y$9,8,FALSE())</f>
        <v>TK/0</v>
      </c>
      <c r="J22" s="12" t="str">
        <f>VLOOKUP($D22,Master_Karyawan!$A$4:$Y$9,9,FALSE())</f>
        <v>A</v>
      </c>
      <c r="K22" s="12">
        <f t="shared" si="0"/>
        <v>1</v>
      </c>
      <c r="L22" s="15">
        <f>IF($K22=1,VLOOKUP($D22,Master_Karyawan!$A$4:$Y$9,19,FALSE()),0)</f>
        <v>8000000</v>
      </c>
      <c r="M22" s="15">
        <f>IF($K22=1,VLOOKUP($D22,Master_Karyawan!$A$4:$Y$9,20,FALSE()),0)</f>
        <v>1000000</v>
      </c>
      <c r="N22" s="15">
        <f>IF($K22=1,VLOOKUP($D22,Master_Karyawan!$A$4:$Y$9,21,FALSE()),0)</f>
        <v>500000</v>
      </c>
      <c r="O22" s="21">
        <v>100000</v>
      </c>
      <c r="P22" s="21">
        <v>0</v>
      </c>
      <c r="Q22" s="21">
        <v>0</v>
      </c>
      <c r="R22" s="21">
        <v>0</v>
      </c>
      <c r="S22" s="21">
        <v>75000</v>
      </c>
      <c r="T22" s="15">
        <f t="shared" si="1"/>
        <v>9600000</v>
      </c>
      <c r="U22" s="15">
        <f t="shared" si="2"/>
        <v>9600000</v>
      </c>
      <c r="V22" s="15">
        <f>IF(AND($K22=1,VLOOKUP($D22,Master_Karyawan!$A$4:$Y$9,22,FALSE())="Y"),MIN(L22+M22+N22,Asumsi_Pajak!$B$8),0)</f>
        <v>9500000</v>
      </c>
      <c r="W22" s="15">
        <f>ROUND(V22*Asumsi_Pajak!$B$9,0)</f>
        <v>95000</v>
      </c>
      <c r="X22" s="15">
        <f>IF(AND($K22=1,VLOOKUP($D22,Master_Karyawan!$A$4:$Y$9,23,FALSE())="Y"),L22+M22+N22,0)</f>
        <v>9500000</v>
      </c>
      <c r="Y22" s="15">
        <f>ROUND(X22*Asumsi_Pajak!$B$11,0)</f>
        <v>190000</v>
      </c>
      <c r="Z22" s="15">
        <f>IF(AND($K22=1,VLOOKUP($D22,Master_Karyawan!$A$4:$Y$9,23,FALSE())="Y"),MIN(L22+M22+N22,Asumsi_Pajak!$B$12),0)</f>
        <v>9500000</v>
      </c>
      <c r="AA22" s="15">
        <f>ROUND(Z22*Asumsi_Pajak!$B$13,0)</f>
        <v>95000</v>
      </c>
      <c r="AB22" s="15">
        <f>MIN(ROUND(T22*Asumsi_Pajak!$B$5,0),Asumsi_Pajak!$B$6)</f>
        <v>480000</v>
      </c>
      <c r="AC22" s="15">
        <f t="shared" si="3"/>
        <v>8835000</v>
      </c>
      <c r="AD22" s="15">
        <f>VLOOKUP(I22,Asumsi_Pajak!$E$5:$F$12,2,FALSE())</f>
        <v>54000000</v>
      </c>
      <c r="AE22" s="16">
        <f>IF(J22="A",VLOOKUP(T22,Asumsi_Pajak!$J$5:$K$48,2,TRUE()),IF(J22="B",VLOOKUP(T22,Asumsi_Pajak!$M$5:$N$44,2,TRUE()),VLOOKUP(T22,Asumsi_Pajak!$P$5:$Q$45,2,TRUE())))</f>
        <v>1.7500000000000002E-2</v>
      </c>
      <c r="AF22" s="15">
        <f t="shared" si="4"/>
        <v>127625000</v>
      </c>
      <c r="AG22" s="15">
        <f>AF22-MIN(ROUND(AF22*Asumsi_Pajak!$B$5,0),Asumsi_Pajak!$B$7)-SUMIFS($Y$4:$Y$75,$D$4:$D$75,$D22,$A$4:$A$75,$A22)-SUMIFS($AA$4:$AA$75,$D$4:$D$75,$D22,$A$4:$A$75,$A22)</f>
        <v>118205000</v>
      </c>
      <c r="AH22" s="15">
        <f t="shared" si="5"/>
        <v>64205000</v>
      </c>
      <c r="AI22" s="15">
        <f t="shared" si="6"/>
        <v>3630750</v>
      </c>
      <c r="AJ22" s="15">
        <f t="shared" si="7"/>
        <v>168000</v>
      </c>
      <c r="AK22" s="15">
        <f>ROUND(V22*Asumsi_Pajak!$B$10,0)</f>
        <v>380000</v>
      </c>
      <c r="AL22" s="15">
        <f>ROUND(X22*Asumsi_Pajak!$B$14,0)</f>
        <v>351500</v>
      </c>
      <c r="AM22" s="15">
        <f>ROUND(Z22*Asumsi_Pajak!$B$15,0)</f>
        <v>190000</v>
      </c>
      <c r="AN22" s="15">
        <f>ROUND(X22*VLOOKUP($D22,Master_Karyawan!$A$4:$Y$9,24,FALSE()),0)</f>
        <v>22800</v>
      </c>
      <c r="AO22" s="15">
        <f>ROUND(X22*Asumsi_Pajak!$B$16,0)</f>
        <v>28500</v>
      </c>
      <c r="AP22" s="15">
        <f t="shared" si="8"/>
        <v>10740800</v>
      </c>
      <c r="AQ22" s="15">
        <f t="shared" si="9"/>
        <v>8977000</v>
      </c>
    </row>
    <row r="23" spans="1:43" ht="14.4" x14ac:dyDescent="0.3">
      <c r="A23" s="18">
        <v>2026</v>
      </c>
      <c r="B23" s="18">
        <v>4</v>
      </c>
      <c r="C23" s="19">
        <v>46113</v>
      </c>
      <c r="D23" s="18" t="s">
        <v>52</v>
      </c>
      <c r="E23" s="12" t="str">
        <f>VLOOKUP($D23,Master_Karyawan!$A$4:$Y$9,4,FALSE())</f>
        <v>Siti Nurhaliza</v>
      </c>
      <c r="F23" s="12" t="str">
        <f>VLOOKUP($D23,Master_Karyawan!$A$4:$Y$9,11,FALSE())</f>
        <v>HR</v>
      </c>
      <c r="G23" s="12" t="str">
        <f>VLOOKUP($D23,Master_Karyawan!$A$4:$Y$9,12,FALSE())</f>
        <v>HR Officer</v>
      </c>
      <c r="H23" s="20">
        <f>VLOOKUP($D23,Master_Karyawan!$A$4:$Y$9,10,FALSE())</f>
        <v>45108</v>
      </c>
      <c r="I23" s="12" t="str">
        <f>VLOOKUP($D23,Master_Karyawan!$A$4:$Y$9,8,FALSE())</f>
        <v>K/1</v>
      </c>
      <c r="J23" s="12" t="str">
        <f>VLOOKUP($D23,Master_Karyawan!$A$4:$Y$9,9,FALSE())</f>
        <v>B</v>
      </c>
      <c r="K23" s="12">
        <f t="shared" si="0"/>
        <v>1</v>
      </c>
      <c r="L23" s="15">
        <f>IF($K23=1,VLOOKUP($D23,Master_Karyawan!$A$4:$Y$9,19,FALSE()),0)</f>
        <v>10500000</v>
      </c>
      <c r="M23" s="15">
        <f>IF($K23=1,VLOOKUP($D23,Master_Karyawan!$A$4:$Y$9,20,FALSE()),0)</f>
        <v>1500000</v>
      </c>
      <c r="N23" s="15">
        <f>IF($K23=1,VLOOKUP($D23,Master_Karyawan!$A$4:$Y$9,21,FALSE()),0)</f>
        <v>500000</v>
      </c>
      <c r="O23" s="21">
        <v>114999</v>
      </c>
      <c r="P23" s="21">
        <v>0</v>
      </c>
      <c r="Q23" s="21">
        <v>0</v>
      </c>
      <c r="R23" s="21">
        <v>0</v>
      </c>
      <c r="S23" s="21">
        <v>0</v>
      </c>
      <c r="T23" s="15">
        <f t="shared" si="1"/>
        <v>12614999</v>
      </c>
      <c r="U23" s="15">
        <f t="shared" si="2"/>
        <v>12614999</v>
      </c>
      <c r="V23" s="15">
        <f>IF(AND($K23=1,VLOOKUP($D23,Master_Karyawan!$A$4:$Y$9,22,FALSE())="Y"),MIN(L23+M23+N23,Asumsi_Pajak!$B$8),0)</f>
        <v>12000000</v>
      </c>
      <c r="W23" s="15">
        <f>ROUND(V23*Asumsi_Pajak!$B$9,0)</f>
        <v>120000</v>
      </c>
      <c r="X23" s="15">
        <f>IF(AND($K23=1,VLOOKUP($D23,Master_Karyawan!$A$4:$Y$9,23,FALSE())="Y"),L23+M23+N23,0)</f>
        <v>12500000</v>
      </c>
      <c r="Y23" s="15">
        <f>ROUND(X23*Asumsi_Pajak!$B$11,0)</f>
        <v>250000</v>
      </c>
      <c r="Z23" s="15">
        <f>IF(AND($K23=1,VLOOKUP($D23,Master_Karyawan!$A$4:$Y$9,23,FALSE())="Y"),MIN(L23+M23+N23,Asumsi_Pajak!$B$12),0)</f>
        <v>10547000</v>
      </c>
      <c r="AA23" s="15">
        <f>ROUND(Z23*Asumsi_Pajak!$B$13,0)</f>
        <v>105470</v>
      </c>
      <c r="AB23" s="15">
        <f>MIN(ROUND(T23*Asumsi_Pajak!$B$5,0),Asumsi_Pajak!$B$6)</f>
        <v>500000</v>
      </c>
      <c r="AC23" s="15">
        <f t="shared" si="3"/>
        <v>11759529</v>
      </c>
      <c r="AD23" s="15">
        <f>VLOOKUP(I23,Asumsi_Pajak!$E$5:$F$12,2,FALSE())</f>
        <v>63000000</v>
      </c>
      <c r="AE23" s="16">
        <f>IF(J23="A",VLOOKUP(T23,Asumsi_Pajak!$J$5:$K$48,2,TRUE()),IF(J23="B",VLOOKUP(T23,Asumsi_Pajak!$M$5:$N$44,2,TRUE()),VLOOKUP(T23,Asumsi_Pajak!$P$5:$Q$45,2,TRUE())))</f>
        <v>0.04</v>
      </c>
      <c r="AF23" s="15">
        <f t="shared" si="4"/>
        <v>168016246</v>
      </c>
      <c r="AG23" s="15">
        <f>AF23-MIN(ROUND(AF23*Asumsi_Pajak!$B$5,0),Asumsi_Pajak!$B$7)-SUMIFS($Y$4:$Y$75,$D$4:$D$75,$D23,$A$4:$A$75,$A23)-SUMIFS($AA$4:$AA$75,$D$4:$D$75,$D23,$A$4:$A$75,$A23)</f>
        <v>157750606</v>
      </c>
      <c r="AH23" s="15">
        <f t="shared" si="5"/>
        <v>94750000</v>
      </c>
      <c r="AI23" s="15">
        <f t="shared" si="6"/>
        <v>8212500</v>
      </c>
      <c r="AJ23" s="15">
        <f t="shared" si="7"/>
        <v>504600</v>
      </c>
      <c r="AK23" s="15">
        <f>ROUND(V23*Asumsi_Pajak!$B$10,0)</f>
        <v>480000</v>
      </c>
      <c r="AL23" s="15">
        <f>ROUND(X23*Asumsi_Pajak!$B$14,0)</f>
        <v>462500</v>
      </c>
      <c r="AM23" s="15">
        <f>ROUND(Z23*Asumsi_Pajak!$B$15,0)</f>
        <v>210940</v>
      </c>
      <c r="AN23" s="15">
        <f>ROUND(X23*VLOOKUP($D23,Master_Karyawan!$A$4:$Y$9,24,FALSE()),0)</f>
        <v>30000</v>
      </c>
      <c r="AO23" s="15">
        <f>ROUND(X23*Asumsi_Pajak!$B$16,0)</f>
        <v>37500</v>
      </c>
      <c r="AP23" s="15">
        <f t="shared" si="8"/>
        <v>14340539</v>
      </c>
      <c r="AQ23" s="15">
        <f t="shared" si="9"/>
        <v>11634929</v>
      </c>
    </row>
    <row r="24" spans="1:43" ht="14.4" x14ac:dyDescent="0.3">
      <c r="A24" s="18">
        <v>2026</v>
      </c>
      <c r="B24" s="18">
        <v>4</v>
      </c>
      <c r="C24" s="19">
        <v>46113</v>
      </c>
      <c r="D24" s="18" t="s">
        <v>67</v>
      </c>
      <c r="E24" s="12" t="str">
        <f>VLOOKUP($D24,Master_Karyawan!$A$4:$Y$9,4,FALSE())</f>
        <v>Budi Santoso</v>
      </c>
      <c r="F24" s="12" t="str">
        <f>VLOOKUP($D24,Master_Karyawan!$A$4:$Y$9,11,FALSE())</f>
        <v>IT</v>
      </c>
      <c r="G24" s="12" t="str">
        <f>VLOOKUP($D24,Master_Karyawan!$A$4:$Y$9,12,FALSE())</f>
        <v>IT Supervisor</v>
      </c>
      <c r="H24" s="20">
        <f>VLOOKUP($D24,Master_Karyawan!$A$4:$Y$9,10,FALSE())</f>
        <v>44697</v>
      </c>
      <c r="I24" s="12" t="str">
        <f>VLOOKUP($D24,Master_Karyawan!$A$4:$Y$9,8,FALSE())</f>
        <v>K/3</v>
      </c>
      <c r="J24" s="12" t="str">
        <f>VLOOKUP($D24,Master_Karyawan!$A$4:$Y$9,9,FALSE())</f>
        <v>C</v>
      </c>
      <c r="K24" s="12">
        <f t="shared" si="0"/>
        <v>1</v>
      </c>
      <c r="L24" s="15">
        <f>IF($K24=1,VLOOKUP($D24,Master_Karyawan!$A$4:$Y$9,19,FALSE()),0)</f>
        <v>18000000</v>
      </c>
      <c r="M24" s="15">
        <f>IF($K24=1,VLOOKUP($D24,Master_Karyawan!$A$4:$Y$9,20,FALSE()),0)</f>
        <v>3000000</v>
      </c>
      <c r="N24" s="15">
        <f>IF($K24=1,VLOOKUP($D24,Master_Karyawan!$A$4:$Y$9,21,FALSE()),0)</f>
        <v>750000</v>
      </c>
      <c r="O24" s="21">
        <v>130000</v>
      </c>
      <c r="P24" s="21">
        <v>0</v>
      </c>
      <c r="Q24" s="21">
        <v>0</v>
      </c>
      <c r="R24" s="21">
        <v>0</v>
      </c>
      <c r="S24" s="21">
        <v>0</v>
      </c>
      <c r="T24" s="15">
        <f t="shared" si="1"/>
        <v>21880000</v>
      </c>
      <c r="U24" s="15">
        <f t="shared" si="2"/>
        <v>21880000</v>
      </c>
      <c r="V24" s="15">
        <f>IF(AND($K24=1,VLOOKUP($D24,Master_Karyawan!$A$4:$Y$9,22,FALSE())="Y"),MIN(L24+M24+N24,Asumsi_Pajak!$B$8),0)</f>
        <v>12000000</v>
      </c>
      <c r="W24" s="15">
        <f>ROUND(V24*Asumsi_Pajak!$B$9,0)</f>
        <v>120000</v>
      </c>
      <c r="X24" s="15">
        <f>IF(AND($K24=1,VLOOKUP($D24,Master_Karyawan!$A$4:$Y$9,23,FALSE())="Y"),L24+M24+N24,0)</f>
        <v>21750000</v>
      </c>
      <c r="Y24" s="15">
        <f>ROUND(X24*Asumsi_Pajak!$B$11,0)</f>
        <v>435000</v>
      </c>
      <c r="Z24" s="15">
        <f>IF(AND($K24=1,VLOOKUP($D24,Master_Karyawan!$A$4:$Y$9,23,FALSE())="Y"),MIN(L24+M24+N24,Asumsi_Pajak!$B$12),0)</f>
        <v>10547000</v>
      </c>
      <c r="AA24" s="15">
        <f>ROUND(Z24*Asumsi_Pajak!$B$13,0)</f>
        <v>105470</v>
      </c>
      <c r="AB24" s="15">
        <f>MIN(ROUND(T24*Asumsi_Pajak!$B$5,0),Asumsi_Pajak!$B$6)</f>
        <v>500000</v>
      </c>
      <c r="AC24" s="15">
        <f t="shared" si="3"/>
        <v>20839530</v>
      </c>
      <c r="AD24" s="15">
        <f>VLOOKUP(I24,Asumsi_Pajak!$E$5:$F$12,2,FALSE())</f>
        <v>72000000</v>
      </c>
      <c r="AE24" s="16">
        <f>IF(J24="A",VLOOKUP(T24,Asumsi_Pajak!$J$5:$K$48,2,TRUE()),IF(J24="B",VLOOKUP(T24,Asumsi_Pajak!$M$5:$N$44,2,TRUE()),VLOOKUP(T24,Asumsi_Pajak!$P$5:$Q$45,2,TRUE())))</f>
        <v>0.08</v>
      </c>
      <c r="AF24" s="15">
        <f t="shared" si="4"/>
        <v>291697500</v>
      </c>
      <c r="AG24" s="15">
        <f>AF24-MIN(ROUND(AF24*Asumsi_Pajak!$B$5,0),Asumsi_Pajak!$B$7)-SUMIFS($Y$4:$Y$75,$D$4:$D$75,$D24,$A$4:$A$75,$A24)-SUMIFS($AA$4:$AA$75,$D$4:$D$75,$D24,$A$4:$A$75,$A24)</f>
        <v>279211860</v>
      </c>
      <c r="AH24" s="15">
        <f t="shared" si="5"/>
        <v>207211000</v>
      </c>
      <c r="AI24" s="15">
        <f t="shared" si="6"/>
        <v>25081650</v>
      </c>
      <c r="AJ24" s="15">
        <f t="shared" si="7"/>
        <v>1750400</v>
      </c>
      <c r="AK24" s="15">
        <f>ROUND(V24*Asumsi_Pajak!$B$10,0)</f>
        <v>480000</v>
      </c>
      <c r="AL24" s="15">
        <f>ROUND(X24*Asumsi_Pajak!$B$14,0)</f>
        <v>804750</v>
      </c>
      <c r="AM24" s="15">
        <f>ROUND(Z24*Asumsi_Pajak!$B$15,0)</f>
        <v>210940</v>
      </c>
      <c r="AN24" s="15">
        <f>ROUND(X24*VLOOKUP($D24,Master_Karyawan!$A$4:$Y$9,24,FALSE()),0)</f>
        <v>117450</v>
      </c>
      <c r="AO24" s="15">
        <f>ROUND(X24*Asumsi_Pajak!$B$16,0)</f>
        <v>65250</v>
      </c>
      <c r="AP24" s="15">
        <f t="shared" si="8"/>
        <v>25308790</v>
      </c>
      <c r="AQ24" s="15">
        <f t="shared" si="9"/>
        <v>19469130</v>
      </c>
    </row>
    <row r="25" spans="1:43" ht="14.4" x14ac:dyDescent="0.3">
      <c r="A25" s="18">
        <v>2026</v>
      </c>
      <c r="B25" s="18">
        <v>4</v>
      </c>
      <c r="C25" s="19">
        <v>46113</v>
      </c>
      <c r="D25" s="18" t="s">
        <v>80</v>
      </c>
      <c r="E25" s="12" t="str">
        <f>VLOOKUP($D25,Master_Karyawan!$A$4:$Y$9,4,FALSE())</f>
        <v>Dewi Lestari</v>
      </c>
      <c r="F25" s="12" t="str">
        <f>VLOOKUP($D25,Master_Karyawan!$A$4:$Y$9,11,FALSE())</f>
        <v>Finance</v>
      </c>
      <c r="G25" s="12" t="str">
        <f>VLOOKUP($D25,Master_Karyawan!$A$4:$Y$9,12,FALSE())</f>
        <v>Finance Analyst</v>
      </c>
      <c r="H25" s="20">
        <f>VLOOKUP($D25,Master_Karyawan!$A$4:$Y$9,10,FALSE())</f>
        <v>45689</v>
      </c>
      <c r="I25" s="12" t="str">
        <f>VLOOKUP($D25,Master_Karyawan!$A$4:$Y$9,8,FALSE())</f>
        <v>TK/2</v>
      </c>
      <c r="J25" s="12" t="str">
        <f>VLOOKUP($D25,Master_Karyawan!$A$4:$Y$9,9,FALSE())</f>
        <v>B</v>
      </c>
      <c r="K25" s="12">
        <f t="shared" si="0"/>
        <v>1</v>
      </c>
      <c r="L25" s="15">
        <f>IF($K25=1,VLOOKUP($D25,Master_Karyawan!$A$4:$Y$9,19,FALSE()),0)</f>
        <v>14000000</v>
      </c>
      <c r="M25" s="15">
        <f>IF($K25=1,VLOOKUP($D25,Master_Karyawan!$A$4:$Y$9,20,FALSE()),0)</f>
        <v>2000000</v>
      </c>
      <c r="N25" s="15">
        <f>IF($K25=1,VLOOKUP($D25,Master_Karyawan!$A$4:$Y$9,21,FALSE()),0)</f>
        <v>650000</v>
      </c>
      <c r="O25" s="21">
        <v>145000</v>
      </c>
      <c r="P25" s="21">
        <v>0</v>
      </c>
      <c r="Q25" s="21">
        <v>0</v>
      </c>
      <c r="R25" s="21">
        <v>0</v>
      </c>
      <c r="S25" s="21">
        <v>0</v>
      </c>
      <c r="T25" s="15">
        <f t="shared" si="1"/>
        <v>16795000</v>
      </c>
      <c r="U25" s="15">
        <f t="shared" si="2"/>
        <v>16795000</v>
      </c>
      <c r="V25" s="15">
        <f>IF(AND($K25=1,VLOOKUP($D25,Master_Karyawan!$A$4:$Y$9,22,FALSE())="Y"),MIN(L25+M25+N25,Asumsi_Pajak!$B$8),0)</f>
        <v>12000000</v>
      </c>
      <c r="W25" s="15">
        <f>ROUND(V25*Asumsi_Pajak!$B$9,0)</f>
        <v>120000</v>
      </c>
      <c r="X25" s="15">
        <f>IF(AND($K25=1,VLOOKUP($D25,Master_Karyawan!$A$4:$Y$9,23,FALSE())="Y"),L25+M25+N25,0)</f>
        <v>16650000</v>
      </c>
      <c r="Y25" s="15">
        <f>ROUND(X25*Asumsi_Pajak!$B$11,0)</f>
        <v>333000</v>
      </c>
      <c r="Z25" s="15">
        <f>IF(AND($K25=1,VLOOKUP($D25,Master_Karyawan!$A$4:$Y$9,23,FALSE())="Y"),MIN(L25+M25+N25,Asumsi_Pajak!$B$12),0)</f>
        <v>10547000</v>
      </c>
      <c r="AA25" s="15">
        <f>ROUND(Z25*Asumsi_Pajak!$B$13,0)</f>
        <v>105470</v>
      </c>
      <c r="AB25" s="15">
        <f>MIN(ROUND(T25*Asumsi_Pajak!$B$5,0),Asumsi_Pajak!$B$6)</f>
        <v>500000</v>
      </c>
      <c r="AC25" s="15">
        <f t="shared" si="3"/>
        <v>15856530</v>
      </c>
      <c r="AD25" s="15">
        <f>VLOOKUP(I25,Asumsi_Pajak!$E$5:$F$12,2,FALSE())</f>
        <v>63000000</v>
      </c>
      <c r="AE25" s="16">
        <f>IF(J25="A",VLOOKUP(T25,Asumsi_Pajak!$J$5:$K$48,2,TRUE()),IF(J25="B",VLOOKUP(T25,Asumsi_Pajak!$M$5:$N$44,2,TRUE()),VLOOKUP(T25,Asumsi_Pajak!$P$5:$Q$45,2,TRUE())))</f>
        <v>7.0000000000000007E-2</v>
      </c>
      <c r="AF25" s="15">
        <f t="shared" si="4"/>
        <v>224608750</v>
      </c>
      <c r="AG25" s="15">
        <f>AF25-MIN(ROUND(AF25*Asumsi_Pajak!$B$5,0),Asumsi_Pajak!$B$7)-SUMIFS($Y$4:$Y$75,$D$4:$D$75,$D25,$A$4:$A$75,$A25)-SUMIFS($AA$4:$AA$75,$D$4:$D$75,$D25,$A$4:$A$75,$A25)</f>
        <v>213347110</v>
      </c>
      <c r="AH25" s="15">
        <f t="shared" si="5"/>
        <v>150347000</v>
      </c>
      <c r="AI25" s="15">
        <f t="shared" si="6"/>
        <v>16552050</v>
      </c>
      <c r="AJ25" s="15">
        <f t="shared" si="7"/>
        <v>1175650</v>
      </c>
      <c r="AK25" s="15">
        <f>ROUND(V25*Asumsi_Pajak!$B$10,0)</f>
        <v>480000</v>
      </c>
      <c r="AL25" s="15">
        <f>ROUND(X25*Asumsi_Pajak!$B$14,0)</f>
        <v>616050</v>
      </c>
      <c r="AM25" s="15">
        <f>ROUND(Z25*Asumsi_Pajak!$B$15,0)</f>
        <v>210940</v>
      </c>
      <c r="AN25" s="15">
        <f>ROUND(X25*VLOOKUP($D25,Master_Karyawan!$A$4:$Y$9,24,FALSE()),0)</f>
        <v>39960</v>
      </c>
      <c r="AO25" s="15">
        <f>ROUND(X25*Asumsi_Pajak!$B$16,0)</f>
        <v>49950</v>
      </c>
      <c r="AP25" s="15">
        <f t="shared" si="8"/>
        <v>19367550</v>
      </c>
      <c r="AQ25" s="15">
        <f t="shared" si="9"/>
        <v>15060880</v>
      </c>
    </row>
    <row r="26" spans="1:43" ht="14.4" x14ac:dyDescent="0.3">
      <c r="A26" s="18">
        <v>2026</v>
      </c>
      <c r="B26" s="18">
        <v>4</v>
      </c>
      <c r="C26" s="19">
        <v>46113</v>
      </c>
      <c r="D26" s="18" t="s">
        <v>92</v>
      </c>
      <c r="E26" s="12" t="str">
        <f>VLOOKUP($D26,Master_Karyawan!$A$4:$Y$9,4,FALSE())</f>
        <v>Rudi Hartono</v>
      </c>
      <c r="F26" s="12" t="str">
        <f>VLOOKUP($D26,Master_Karyawan!$A$4:$Y$9,11,FALSE())</f>
        <v>Operations</v>
      </c>
      <c r="G26" s="12" t="str">
        <f>VLOOKUP($D26,Master_Karyawan!$A$4:$Y$9,12,FALSE())</f>
        <v>Warehouse Lead</v>
      </c>
      <c r="H26" s="20">
        <f>VLOOKUP($D26,Master_Karyawan!$A$4:$Y$9,10,FALSE())</f>
        <v>44508</v>
      </c>
      <c r="I26" s="12" t="str">
        <f>VLOOKUP($D26,Master_Karyawan!$A$4:$Y$9,8,FALSE())</f>
        <v>K/0</v>
      </c>
      <c r="J26" s="12" t="str">
        <f>VLOOKUP($D26,Master_Karyawan!$A$4:$Y$9,9,FALSE())</f>
        <v>A</v>
      </c>
      <c r="K26" s="12">
        <f t="shared" si="0"/>
        <v>1</v>
      </c>
      <c r="L26" s="15">
        <f>IF($K26=1,VLOOKUP($D26,Master_Karyawan!$A$4:$Y$9,19,FALSE()),0)</f>
        <v>7500000</v>
      </c>
      <c r="M26" s="15">
        <f>IF($K26=1,VLOOKUP($D26,Master_Karyawan!$A$4:$Y$9,20,FALSE()),0)</f>
        <v>1000000</v>
      </c>
      <c r="N26" s="15">
        <f>IF($K26=1,VLOOKUP($D26,Master_Karyawan!$A$4:$Y$9,21,FALSE()),0)</f>
        <v>400000</v>
      </c>
      <c r="O26" s="21">
        <v>160000</v>
      </c>
      <c r="P26" s="21">
        <v>0</v>
      </c>
      <c r="Q26" s="21">
        <v>0</v>
      </c>
      <c r="R26" s="21">
        <v>0</v>
      </c>
      <c r="S26" s="21">
        <v>100000</v>
      </c>
      <c r="T26" s="15">
        <f t="shared" si="1"/>
        <v>9060000</v>
      </c>
      <c r="U26" s="15">
        <f t="shared" si="2"/>
        <v>9060000</v>
      </c>
      <c r="V26" s="15">
        <f>IF(AND($K26=1,VLOOKUP($D26,Master_Karyawan!$A$4:$Y$9,22,FALSE())="Y"),MIN(L26+M26+N26,Asumsi_Pajak!$B$8),0)</f>
        <v>8900000</v>
      </c>
      <c r="W26" s="15">
        <f>ROUND(V26*Asumsi_Pajak!$B$9,0)</f>
        <v>89000</v>
      </c>
      <c r="X26" s="15">
        <f>IF(AND($K26=1,VLOOKUP($D26,Master_Karyawan!$A$4:$Y$9,23,FALSE())="Y"),L26+M26+N26,0)</f>
        <v>8900000</v>
      </c>
      <c r="Y26" s="15">
        <f>ROUND(X26*Asumsi_Pajak!$B$11,0)</f>
        <v>178000</v>
      </c>
      <c r="Z26" s="15">
        <f>IF(AND($K26=1,VLOOKUP($D26,Master_Karyawan!$A$4:$Y$9,23,FALSE())="Y"),MIN(L26+M26+N26,Asumsi_Pajak!$B$12),0)</f>
        <v>8900000</v>
      </c>
      <c r="AA26" s="15">
        <f>ROUND(Z26*Asumsi_Pajak!$B$13,0)</f>
        <v>89000</v>
      </c>
      <c r="AB26" s="15">
        <f>MIN(ROUND(T26*Asumsi_Pajak!$B$5,0),Asumsi_Pajak!$B$6)</f>
        <v>453000</v>
      </c>
      <c r="AC26" s="15">
        <f t="shared" si="3"/>
        <v>8340000</v>
      </c>
      <c r="AD26" s="15">
        <f>VLOOKUP(I26,Asumsi_Pajak!$E$5:$F$12,2,FALSE())</f>
        <v>58500000</v>
      </c>
      <c r="AE26" s="16">
        <f>IF(J26="A",VLOOKUP(T26,Asumsi_Pajak!$J$5:$K$48,2,TRUE()),IF(J26="B",VLOOKUP(T26,Asumsi_Pajak!$M$5:$N$44,2,TRUE()),VLOOKUP(T26,Asumsi_Pajak!$P$5:$Q$45,2,TRUE())))</f>
        <v>1.7500000000000002E-2</v>
      </c>
      <c r="AF26" s="15">
        <f t="shared" si="4"/>
        <v>121845000</v>
      </c>
      <c r="AG26" s="15">
        <f>AF26-MIN(ROUND(AF26*Asumsi_Pajak!$B$5,0),Asumsi_Pajak!$B$7)-SUMIFS($Y$4:$Y$75,$D$4:$D$75,$D26,$A$4:$A$75,$A26)-SUMIFS($AA$4:$AA$75,$D$4:$D$75,$D26,$A$4:$A$75,$A26)</f>
        <v>112641000</v>
      </c>
      <c r="AH26" s="15">
        <f t="shared" si="5"/>
        <v>54141000</v>
      </c>
      <c r="AI26" s="15">
        <f t="shared" si="6"/>
        <v>2707050</v>
      </c>
      <c r="AJ26" s="15">
        <f t="shared" si="7"/>
        <v>158550</v>
      </c>
      <c r="AK26" s="15">
        <f>ROUND(V26*Asumsi_Pajak!$B$10,0)</f>
        <v>356000</v>
      </c>
      <c r="AL26" s="15">
        <f>ROUND(X26*Asumsi_Pajak!$B$14,0)</f>
        <v>329300</v>
      </c>
      <c r="AM26" s="15">
        <f>ROUND(Z26*Asumsi_Pajak!$B$15,0)</f>
        <v>178000</v>
      </c>
      <c r="AN26" s="15">
        <f>ROUND(X26*VLOOKUP($D26,Master_Karyawan!$A$4:$Y$9,24,FALSE()),0)</f>
        <v>48060</v>
      </c>
      <c r="AO26" s="15">
        <f>ROUND(X26*Asumsi_Pajak!$B$16,0)</f>
        <v>26700</v>
      </c>
      <c r="AP26" s="15">
        <f t="shared" si="8"/>
        <v>10156610</v>
      </c>
      <c r="AQ26" s="15">
        <f t="shared" si="9"/>
        <v>8445450</v>
      </c>
    </row>
    <row r="27" spans="1:43" ht="14.4" x14ac:dyDescent="0.3">
      <c r="A27" s="18">
        <v>2026</v>
      </c>
      <c r="B27" s="18">
        <v>4</v>
      </c>
      <c r="C27" s="19">
        <v>46113</v>
      </c>
      <c r="D27" s="18" t="s">
        <v>104</v>
      </c>
      <c r="E27" s="12" t="str">
        <f>VLOOKUP($D27,Master_Karyawan!$A$4:$Y$9,4,FALSE())</f>
        <v>Maya Putri</v>
      </c>
      <c r="F27" s="12" t="str">
        <f>VLOOKUP($D27,Master_Karyawan!$A$4:$Y$9,11,FALSE())</f>
        <v>Marketing</v>
      </c>
      <c r="G27" s="12" t="str">
        <f>VLOOKUP($D27,Master_Karyawan!$A$4:$Y$9,12,FALSE())</f>
        <v>Marketing Specialist</v>
      </c>
      <c r="H27" s="20">
        <f>VLOOKUP($D27,Master_Karyawan!$A$4:$Y$9,10,FALSE())</f>
        <v>45537</v>
      </c>
      <c r="I27" s="12" t="str">
        <f>VLOOKUP($D27,Master_Karyawan!$A$4:$Y$9,8,FALSE())</f>
        <v>TK/1</v>
      </c>
      <c r="J27" s="12" t="str">
        <f>VLOOKUP($D27,Master_Karyawan!$A$4:$Y$9,9,FALSE())</f>
        <v>A</v>
      </c>
      <c r="K27" s="12">
        <f t="shared" si="0"/>
        <v>1</v>
      </c>
      <c r="L27" s="15">
        <f>IF($K27=1,VLOOKUP($D27,Master_Karyawan!$A$4:$Y$9,19,FALSE()),0)</f>
        <v>12500000</v>
      </c>
      <c r="M27" s="15">
        <f>IF($K27=1,VLOOKUP($D27,Master_Karyawan!$A$4:$Y$9,20,FALSE()),0)</f>
        <v>2000000</v>
      </c>
      <c r="N27" s="15">
        <f>IF($K27=1,VLOOKUP($D27,Master_Karyawan!$A$4:$Y$9,21,FALSE()),0)</f>
        <v>600000</v>
      </c>
      <c r="O27" s="21">
        <v>175000</v>
      </c>
      <c r="P27" s="21">
        <v>0</v>
      </c>
      <c r="Q27" s="21">
        <v>0</v>
      </c>
      <c r="R27" s="21">
        <v>0</v>
      </c>
      <c r="S27" s="21">
        <v>0</v>
      </c>
      <c r="T27" s="15">
        <f t="shared" si="1"/>
        <v>15275000</v>
      </c>
      <c r="U27" s="15">
        <f t="shared" si="2"/>
        <v>15275000</v>
      </c>
      <c r="V27" s="15">
        <f>IF(AND($K27=1,VLOOKUP($D27,Master_Karyawan!$A$4:$Y$9,22,FALSE())="Y"),MIN(L27+M27+N27,Asumsi_Pajak!$B$8),0)</f>
        <v>12000000</v>
      </c>
      <c r="W27" s="15">
        <f>ROUND(V27*Asumsi_Pajak!$B$9,0)</f>
        <v>120000</v>
      </c>
      <c r="X27" s="15">
        <f>IF(AND($K27=1,VLOOKUP($D27,Master_Karyawan!$A$4:$Y$9,23,FALSE())="Y"),L27+M27+N27,0)</f>
        <v>15100000</v>
      </c>
      <c r="Y27" s="15">
        <f>ROUND(X27*Asumsi_Pajak!$B$11,0)</f>
        <v>302000</v>
      </c>
      <c r="Z27" s="15">
        <f>IF(AND($K27=1,VLOOKUP($D27,Master_Karyawan!$A$4:$Y$9,23,FALSE())="Y"),MIN(L27+M27+N27,Asumsi_Pajak!$B$12),0)</f>
        <v>10547000</v>
      </c>
      <c r="AA27" s="15">
        <f>ROUND(Z27*Asumsi_Pajak!$B$13,0)</f>
        <v>105470</v>
      </c>
      <c r="AB27" s="15">
        <f>MIN(ROUND(T27*Asumsi_Pajak!$B$5,0),Asumsi_Pajak!$B$6)</f>
        <v>500000</v>
      </c>
      <c r="AC27" s="15">
        <f t="shared" si="3"/>
        <v>14367530</v>
      </c>
      <c r="AD27" s="15">
        <f>VLOOKUP(I27,Asumsi_Pajak!$E$5:$F$12,2,FALSE())</f>
        <v>58500000</v>
      </c>
      <c r="AE27" s="16">
        <f>IF(J27="A",VLOOKUP(T27,Asumsi_Pajak!$J$5:$K$48,2,TRUE()),IF(J27="B",VLOOKUP(T27,Asumsi_Pajak!$M$5:$N$44,2,TRUE()),VLOOKUP(T27,Asumsi_Pajak!$P$5:$Q$45,2,TRUE())))</f>
        <v>7.0000000000000007E-2</v>
      </c>
      <c r="AF27" s="15">
        <f t="shared" si="4"/>
        <v>205381250</v>
      </c>
      <c r="AG27" s="15">
        <f>AF27-MIN(ROUND(AF27*Asumsi_Pajak!$B$5,0),Asumsi_Pajak!$B$7)-SUMIFS($Y$4:$Y$75,$D$4:$D$75,$D27,$A$4:$A$75,$A27)-SUMIFS($AA$4:$AA$75,$D$4:$D$75,$D27,$A$4:$A$75,$A27)</f>
        <v>194491610</v>
      </c>
      <c r="AH27" s="15">
        <f t="shared" si="5"/>
        <v>135991000</v>
      </c>
      <c r="AI27" s="15">
        <f t="shared" si="6"/>
        <v>14398650</v>
      </c>
      <c r="AJ27" s="15">
        <f t="shared" si="7"/>
        <v>1069250</v>
      </c>
      <c r="AK27" s="15">
        <f>ROUND(V27*Asumsi_Pajak!$B$10,0)</f>
        <v>480000</v>
      </c>
      <c r="AL27" s="15">
        <f>ROUND(X27*Asumsi_Pajak!$B$14,0)</f>
        <v>558700</v>
      </c>
      <c r="AM27" s="15">
        <f>ROUND(Z27*Asumsi_Pajak!$B$15,0)</f>
        <v>210940</v>
      </c>
      <c r="AN27" s="15">
        <f>ROUND(X27*VLOOKUP($D27,Master_Karyawan!$A$4:$Y$9,24,FALSE()),0)</f>
        <v>36240</v>
      </c>
      <c r="AO27" s="15">
        <f>ROUND(X27*Asumsi_Pajak!$B$16,0)</f>
        <v>45300</v>
      </c>
      <c r="AP27" s="15">
        <f t="shared" si="8"/>
        <v>17675430</v>
      </c>
      <c r="AQ27" s="15">
        <f t="shared" si="9"/>
        <v>13678280</v>
      </c>
    </row>
    <row r="28" spans="1:43" ht="14.4" x14ac:dyDescent="0.3">
      <c r="A28" s="18">
        <v>2026</v>
      </c>
      <c r="B28" s="18">
        <v>5</v>
      </c>
      <c r="C28" s="19">
        <v>46143</v>
      </c>
      <c r="D28" s="18" t="s">
        <v>34</v>
      </c>
      <c r="E28" s="12" t="str">
        <f>VLOOKUP($D28,Master_Karyawan!$A$4:$Y$9,4,FALSE())</f>
        <v>Andi Pratama</v>
      </c>
      <c r="F28" s="12" t="str">
        <f>VLOOKUP($D28,Master_Karyawan!$A$4:$Y$9,11,FALSE())</f>
        <v>Sales</v>
      </c>
      <c r="G28" s="12" t="str">
        <f>VLOOKUP($D28,Master_Karyawan!$A$4:$Y$9,12,FALSE())</f>
        <v>Sales Executive</v>
      </c>
      <c r="H28" s="20">
        <f>VLOOKUP($D28,Master_Karyawan!$A$4:$Y$9,10,FALSE())</f>
        <v>45301</v>
      </c>
      <c r="I28" s="12" t="str">
        <f>VLOOKUP($D28,Master_Karyawan!$A$4:$Y$9,8,FALSE())</f>
        <v>TK/0</v>
      </c>
      <c r="J28" s="12" t="str">
        <f>VLOOKUP($D28,Master_Karyawan!$A$4:$Y$9,9,FALSE())</f>
        <v>A</v>
      </c>
      <c r="K28" s="12">
        <f t="shared" si="0"/>
        <v>1</v>
      </c>
      <c r="L28" s="15">
        <f>IF($K28=1,VLOOKUP($D28,Master_Karyawan!$A$4:$Y$9,19,FALSE()),0)</f>
        <v>8000000</v>
      </c>
      <c r="M28" s="15">
        <f>IF($K28=1,VLOOKUP($D28,Master_Karyawan!$A$4:$Y$9,20,FALSE()),0)</f>
        <v>1000000</v>
      </c>
      <c r="N28" s="15">
        <f>IF($K28=1,VLOOKUP($D28,Master_Karyawan!$A$4:$Y$9,21,FALSE()),0)</f>
        <v>500000</v>
      </c>
      <c r="O28" s="21">
        <v>200000</v>
      </c>
      <c r="P28" s="21">
        <v>0</v>
      </c>
      <c r="Q28" s="21">
        <v>0</v>
      </c>
      <c r="R28" s="21">
        <v>0</v>
      </c>
      <c r="S28" s="21">
        <v>0</v>
      </c>
      <c r="T28" s="15">
        <f t="shared" si="1"/>
        <v>9700000</v>
      </c>
      <c r="U28" s="15">
        <f t="shared" si="2"/>
        <v>9700000</v>
      </c>
      <c r="V28" s="15">
        <f>IF(AND($K28=1,VLOOKUP($D28,Master_Karyawan!$A$4:$Y$9,22,FALSE())="Y"),MIN(L28+M28+N28,Asumsi_Pajak!$B$8),0)</f>
        <v>9500000</v>
      </c>
      <c r="W28" s="15">
        <f>ROUND(V28*Asumsi_Pajak!$B$9,0)</f>
        <v>95000</v>
      </c>
      <c r="X28" s="15">
        <f>IF(AND($K28=1,VLOOKUP($D28,Master_Karyawan!$A$4:$Y$9,23,FALSE())="Y"),L28+M28+N28,0)</f>
        <v>9500000</v>
      </c>
      <c r="Y28" s="15">
        <f>ROUND(X28*Asumsi_Pajak!$B$11,0)</f>
        <v>190000</v>
      </c>
      <c r="Z28" s="15">
        <f>IF(AND($K28=1,VLOOKUP($D28,Master_Karyawan!$A$4:$Y$9,23,FALSE())="Y"),MIN(L28+M28+N28,Asumsi_Pajak!$B$12),0)</f>
        <v>9500000</v>
      </c>
      <c r="AA28" s="15">
        <f>ROUND(Z28*Asumsi_Pajak!$B$13,0)</f>
        <v>95000</v>
      </c>
      <c r="AB28" s="15">
        <f>MIN(ROUND(T28*Asumsi_Pajak!$B$5,0),Asumsi_Pajak!$B$6)</f>
        <v>485000</v>
      </c>
      <c r="AC28" s="15">
        <f t="shared" si="3"/>
        <v>8930000</v>
      </c>
      <c r="AD28" s="15">
        <f>VLOOKUP(I28,Asumsi_Pajak!$E$5:$F$12,2,FALSE())</f>
        <v>54000000</v>
      </c>
      <c r="AE28" s="16">
        <f>IF(J28="A",VLOOKUP(T28,Asumsi_Pajak!$J$5:$K$48,2,TRUE()),IF(J28="B",VLOOKUP(T28,Asumsi_Pajak!$M$5:$N$44,2,TRUE()),VLOOKUP(T28,Asumsi_Pajak!$P$5:$Q$45,2,TRUE())))</f>
        <v>0.02</v>
      </c>
      <c r="AF28" s="15">
        <f t="shared" si="4"/>
        <v>127625000</v>
      </c>
      <c r="AG28" s="15">
        <f>AF28-MIN(ROUND(AF28*Asumsi_Pajak!$B$5,0),Asumsi_Pajak!$B$7)-SUMIFS($Y$4:$Y$75,$D$4:$D$75,$D28,$A$4:$A$75,$A28)-SUMIFS($AA$4:$AA$75,$D$4:$D$75,$D28,$A$4:$A$75,$A28)</f>
        <v>118205000</v>
      </c>
      <c r="AH28" s="15">
        <f t="shared" si="5"/>
        <v>64205000</v>
      </c>
      <c r="AI28" s="15">
        <f t="shared" si="6"/>
        <v>3630750</v>
      </c>
      <c r="AJ28" s="15">
        <f t="shared" si="7"/>
        <v>194000</v>
      </c>
      <c r="AK28" s="15">
        <f>ROUND(V28*Asumsi_Pajak!$B$10,0)</f>
        <v>380000</v>
      </c>
      <c r="AL28" s="15">
        <f>ROUND(X28*Asumsi_Pajak!$B$14,0)</f>
        <v>351500</v>
      </c>
      <c r="AM28" s="15">
        <f>ROUND(Z28*Asumsi_Pajak!$B$15,0)</f>
        <v>190000</v>
      </c>
      <c r="AN28" s="15">
        <f>ROUND(X28*VLOOKUP($D28,Master_Karyawan!$A$4:$Y$9,24,FALSE()),0)</f>
        <v>22800</v>
      </c>
      <c r="AO28" s="15">
        <f>ROUND(X28*Asumsi_Pajak!$B$16,0)</f>
        <v>28500</v>
      </c>
      <c r="AP28" s="15">
        <f t="shared" si="8"/>
        <v>10866800</v>
      </c>
      <c r="AQ28" s="15">
        <f t="shared" si="9"/>
        <v>9126000</v>
      </c>
    </row>
    <row r="29" spans="1:43" ht="14.4" x14ac:dyDescent="0.3">
      <c r="A29" s="18">
        <v>2026</v>
      </c>
      <c r="B29" s="18">
        <v>5</v>
      </c>
      <c r="C29" s="19">
        <v>46143</v>
      </c>
      <c r="D29" s="18" t="s">
        <v>52</v>
      </c>
      <c r="E29" s="12" t="str">
        <f>VLOOKUP($D29,Master_Karyawan!$A$4:$Y$9,4,FALSE())</f>
        <v>Siti Nurhaliza</v>
      </c>
      <c r="F29" s="12" t="str">
        <f>VLOOKUP($D29,Master_Karyawan!$A$4:$Y$9,11,FALSE())</f>
        <v>HR</v>
      </c>
      <c r="G29" s="12" t="str">
        <f>VLOOKUP($D29,Master_Karyawan!$A$4:$Y$9,12,FALSE())</f>
        <v>HR Officer</v>
      </c>
      <c r="H29" s="20">
        <f>VLOOKUP($D29,Master_Karyawan!$A$4:$Y$9,10,FALSE())</f>
        <v>45108</v>
      </c>
      <c r="I29" s="12" t="str">
        <f>VLOOKUP($D29,Master_Karyawan!$A$4:$Y$9,8,FALSE())</f>
        <v>K/1</v>
      </c>
      <c r="J29" s="12" t="str">
        <f>VLOOKUP($D29,Master_Karyawan!$A$4:$Y$9,9,FALSE())</f>
        <v>B</v>
      </c>
      <c r="K29" s="12">
        <f t="shared" si="0"/>
        <v>1</v>
      </c>
      <c r="L29" s="15">
        <f>IF($K29=1,VLOOKUP($D29,Master_Karyawan!$A$4:$Y$9,19,FALSE()),0)</f>
        <v>10500000</v>
      </c>
      <c r="M29" s="15">
        <f>IF($K29=1,VLOOKUP($D29,Master_Karyawan!$A$4:$Y$9,20,FALSE()),0)</f>
        <v>1500000</v>
      </c>
      <c r="N29" s="15">
        <f>IF($K29=1,VLOOKUP($D29,Master_Karyawan!$A$4:$Y$9,21,FALSE()),0)</f>
        <v>500000</v>
      </c>
      <c r="O29" s="21">
        <v>229999</v>
      </c>
      <c r="P29" s="21">
        <v>0</v>
      </c>
      <c r="Q29" s="21">
        <v>0</v>
      </c>
      <c r="R29" s="21">
        <v>0</v>
      </c>
      <c r="S29" s="21">
        <v>0</v>
      </c>
      <c r="T29" s="15">
        <f t="shared" si="1"/>
        <v>12729999</v>
      </c>
      <c r="U29" s="15">
        <f t="shared" si="2"/>
        <v>12729999</v>
      </c>
      <c r="V29" s="15">
        <f>IF(AND($K29=1,VLOOKUP($D29,Master_Karyawan!$A$4:$Y$9,22,FALSE())="Y"),MIN(L29+M29+N29,Asumsi_Pajak!$B$8),0)</f>
        <v>12000000</v>
      </c>
      <c r="W29" s="15">
        <f>ROUND(V29*Asumsi_Pajak!$B$9,0)</f>
        <v>120000</v>
      </c>
      <c r="X29" s="15">
        <f>IF(AND($K29=1,VLOOKUP($D29,Master_Karyawan!$A$4:$Y$9,23,FALSE())="Y"),L29+M29+N29,0)</f>
        <v>12500000</v>
      </c>
      <c r="Y29" s="15">
        <f>ROUND(X29*Asumsi_Pajak!$B$11,0)</f>
        <v>250000</v>
      </c>
      <c r="Z29" s="15">
        <f>IF(AND($K29=1,VLOOKUP($D29,Master_Karyawan!$A$4:$Y$9,23,FALSE())="Y"),MIN(L29+M29+N29,Asumsi_Pajak!$B$12),0)</f>
        <v>10547000</v>
      </c>
      <c r="AA29" s="15">
        <f>ROUND(Z29*Asumsi_Pajak!$B$13,0)</f>
        <v>105470</v>
      </c>
      <c r="AB29" s="15">
        <f>MIN(ROUND(T29*Asumsi_Pajak!$B$5,0),Asumsi_Pajak!$B$6)</f>
        <v>500000</v>
      </c>
      <c r="AC29" s="15">
        <f t="shared" si="3"/>
        <v>11874529</v>
      </c>
      <c r="AD29" s="15">
        <f>VLOOKUP(I29,Asumsi_Pajak!$E$5:$F$12,2,FALSE())</f>
        <v>63000000</v>
      </c>
      <c r="AE29" s="16">
        <f>IF(J29="A",VLOOKUP(T29,Asumsi_Pajak!$J$5:$K$48,2,TRUE()),IF(J29="B",VLOOKUP(T29,Asumsi_Pajak!$M$5:$N$44,2,TRUE()),VLOOKUP(T29,Asumsi_Pajak!$P$5:$Q$45,2,TRUE())))</f>
        <v>0.04</v>
      </c>
      <c r="AF29" s="15">
        <f t="shared" si="4"/>
        <v>168016246</v>
      </c>
      <c r="AG29" s="15">
        <f>AF29-MIN(ROUND(AF29*Asumsi_Pajak!$B$5,0),Asumsi_Pajak!$B$7)-SUMIFS($Y$4:$Y$75,$D$4:$D$75,$D29,$A$4:$A$75,$A29)-SUMIFS($AA$4:$AA$75,$D$4:$D$75,$D29,$A$4:$A$75,$A29)</f>
        <v>157750606</v>
      </c>
      <c r="AH29" s="15">
        <f t="shared" si="5"/>
        <v>94750000</v>
      </c>
      <c r="AI29" s="15">
        <f t="shared" si="6"/>
        <v>8212500</v>
      </c>
      <c r="AJ29" s="15">
        <f t="shared" si="7"/>
        <v>509200</v>
      </c>
      <c r="AK29" s="15">
        <f>ROUND(V29*Asumsi_Pajak!$B$10,0)</f>
        <v>480000</v>
      </c>
      <c r="AL29" s="15">
        <f>ROUND(X29*Asumsi_Pajak!$B$14,0)</f>
        <v>462500</v>
      </c>
      <c r="AM29" s="15">
        <f>ROUND(Z29*Asumsi_Pajak!$B$15,0)</f>
        <v>210940</v>
      </c>
      <c r="AN29" s="15">
        <f>ROUND(X29*VLOOKUP($D29,Master_Karyawan!$A$4:$Y$9,24,FALSE()),0)</f>
        <v>30000</v>
      </c>
      <c r="AO29" s="15">
        <f>ROUND(X29*Asumsi_Pajak!$B$16,0)</f>
        <v>37500</v>
      </c>
      <c r="AP29" s="15">
        <f t="shared" si="8"/>
        <v>14460139</v>
      </c>
      <c r="AQ29" s="15">
        <f t="shared" si="9"/>
        <v>11745329</v>
      </c>
    </row>
    <row r="30" spans="1:43" ht="14.4" x14ac:dyDescent="0.3">
      <c r="A30" s="18">
        <v>2026</v>
      </c>
      <c r="B30" s="18">
        <v>5</v>
      </c>
      <c r="C30" s="19">
        <v>46143</v>
      </c>
      <c r="D30" s="18" t="s">
        <v>67</v>
      </c>
      <c r="E30" s="12" t="str">
        <f>VLOOKUP($D30,Master_Karyawan!$A$4:$Y$9,4,FALSE())</f>
        <v>Budi Santoso</v>
      </c>
      <c r="F30" s="12" t="str">
        <f>VLOOKUP($D30,Master_Karyawan!$A$4:$Y$9,11,FALSE())</f>
        <v>IT</v>
      </c>
      <c r="G30" s="12" t="str">
        <f>VLOOKUP($D30,Master_Karyawan!$A$4:$Y$9,12,FALSE())</f>
        <v>IT Supervisor</v>
      </c>
      <c r="H30" s="20">
        <f>VLOOKUP($D30,Master_Karyawan!$A$4:$Y$9,10,FALSE())</f>
        <v>44697</v>
      </c>
      <c r="I30" s="12" t="str">
        <f>VLOOKUP($D30,Master_Karyawan!$A$4:$Y$9,8,FALSE())</f>
        <v>K/3</v>
      </c>
      <c r="J30" s="12" t="str">
        <f>VLOOKUP($D30,Master_Karyawan!$A$4:$Y$9,9,FALSE())</f>
        <v>C</v>
      </c>
      <c r="K30" s="12">
        <f t="shared" si="0"/>
        <v>1</v>
      </c>
      <c r="L30" s="15">
        <f>IF($K30=1,VLOOKUP($D30,Master_Karyawan!$A$4:$Y$9,19,FALSE()),0)</f>
        <v>18000000</v>
      </c>
      <c r="M30" s="15">
        <f>IF($K30=1,VLOOKUP($D30,Master_Karyawan!$A$4:$Y$9,20,FALSE()),0)</f>
        <v>3000000</v>
      </c>
      <c r="N30" s="15">
        <f>IF($K30=1,VLOOKUP($D30,Master_Karyawan!$A$4:$Y$9,21,FALSE()),0)</f>
        <v>750000</v>
      </c>
      <c r="O30" s="21">
        <v>260000</v>
      </c>
      <c r="P30" s="21">
        <v>0</v>
      </c>
      <c r="Q30" s="21">
        <v>0</v>
      </c>
      <c r="R30" s="21">
        <v>0</v>
      </c>
      <c r="S30" s="21">
        <v>0</v>
      </c>
      <c r="T30" s="15">
        <f t="shared" si="1"/>
        <v>22010000</v>
      </c>
      <c r="U30" s="15">
        <f t="shared" si="2"/>
        <v>22010000</v>
      </c>
      <c r="V30" s="15">
        <f>IF(AND($K30=1,VLOOKUP($D30,Master_Karyawan!$A$4:$Y$9,22,FALSE())="Y"),MIN(L30+M30+N30,Asumsi_Pajak!$B$8),0)</f>
        <v>12000000</v>
      </c>
      <c r="W30" s="15">
        <f>ROUND(V30*Asumsi_Pajak!$B$9,0)</f>
        <v>120000</v>
      </c>
      <c r="X30" s="15">
        <f>IF(AND($K30=1,VLOOKUP($D30,Master_Karyawan!$A$4:$Y$9,23,FALSE())="Y"),L30+M30+N30,0)</f>
        <v>21750000</v>
      </c>
      <c r="Y30" s="15">
        <f>ROUND(X30*Asumsi_Pajak!$B$11,0)</f>
        <v>435000</v>
      </c>
      <c r="Z30" s="15">
        <f>IF(AND($K30=1,VLOOKUP($D30,Master_Karyawan!$A$4:$Y$9,23,FALSE())="Y"),MIN(L30+M30+N30,Asumsi_Pajak!$B$12),0)</f>
        <v>10547000</v>
      </c>
      <c r="AA30" s="15">
        <f>ROUND(Z30*Asumsi_Pajak!$B$13,0)</f>
        <v>105470</v>
      </c>
      <c r="AB30" s="15">
        <f>MIN(ROUND(T30*Asumsi_Pajak!$B$5,0),Asumsi_Pajak!$B$6)</f>
        <v>500000</v>
      </c>
      <c r="AC30" s="15">
        <f t="shared" si="3"/>
        <v>20969530</v>
      </c>
      <c r="AD30" s="15">
        <f>VLOOKUP(I30,Asumsi_Pajak!$E$5:$F$12,2,FALSE())</f>
        <v>72000000</v>
      </c>
      <c r="AE30" s="16">
        <f>IF(J30="A",VLOOKUP(T30,Asumsi_Pajak!$J$5:$K$48,2,TRUE()),IF(J30="B",VLOOKUP(T30,Asumsi_Pajak!$M$5:$N$44,2,TRUE()),VLOOKUP(T30,Asumsi_Pajak!$P$5:$Q$45,2,TRUE())))</f>
        <v>0.08</v>
      </c>
      <c r="AF30" s="15">
        <f t="shared" si="4"/>
        <v>291697500</v>
      </c>
      <c r="AG30" s="15">
        <f>AF30-MIN(ROUND(AF30*Asumsi_Pajak!$B$5,0),Asumsi_Pajak!$B$7)-SUMIFS($Y$4:$Y$75,$D$4:$D$75,$D30,$A$4:$A$75,$A30)-SUMIFS($AA$4:$AA$75,$D$4:$D$75,$D30,$A$4:$A$75,$A30)</f>
        <v>279211860</v>
      </c>
      <c r="AH30" s="15">
        <f t="shared" si="5"/>
        <v>207211000</v>
      </c>
      <c r="AI30" s="15">
        <f t="shared" si="6"/>
        <v>25081650</v>
      </c>
      <c r="AJ30" s="15">
        <f t="shared" si="7"/>
        <v>1760800</v>
      </c>
      <c r="AK30" s="15">
        <f>ROUND(V30*Asumsi_Pajak!$B$10,0)</f>
        <v>480000</v>
      </c>
      <c r="AL30" s="15">
        <f>ROUND(X30*Asumsi_Pajak!$B$14,0)</f>
        <v>804750</v>
      </c>
      <c r="AM30" s="15">
        <f>ROUND(Z30*Asumsi_Pajak!$B$15,0)</f>
        <v>210940</v>
      </c>
      <c r="AN30" s="15">
        <f>ROUND(X30*VLOOKUP($D30,Master_Karyawan!$A$4:$Y$9,24,FALSE()),0)</f>
        <v>117450</v>
      </c>
      <c r="AO30" s="15">
        <f>ROUND(X30*Asumsi_Pajak!$B$16,0)</f>
        <v>65250</v>
      </c>
      <c r="AP30" s="15">
        <f t="shared" si="8"/>
        <v>25449190</v>
      </c>
      <c r="AQ30" s="15">
        <f t="shared" si="9"/>
        <v>19588730</v>
      </c>
    </row>
    <row r="31" spans="1:43" ht="14.4" x14ac:dyDescent="0.3">
      <c r="A31" s="18">
        <v>2026</v>
      </c>
      <c r="B31" s="18">
        <v>5</v>
      </c>
      <c r="C31" s="19">
        <v>46143</v>
      </c>
      <c r="D31" s="18" t="s">
        <v>80</v>
      </c>
      <c r="E31" s="12" t="str">
        <f>VLOOKUP($D31,Master_Karyawan!$A$4:$Y$9,4,FALSE())</f>
        <v>Dewi Lestari</v>
      </c>
      <c r="F31" s="12" t="str">
        <f>VLOOKUP($D31,Master_Karyawan!$A$4:$Y$9,11,FALSE())</f>
        <v>Finance</v>
      </c>
      <c r="G31" s="12" t="str">
        <f>VLOOKUP($D31,Master_Karyawan!$A$4:$Y$9,12,FALSE())</f>
        <v>Finance Analyst</v>
      </c>
      <c r="H31" s="20">
        <f>VLOOKUP($D31,Master_Karyawan!$A$4:$Y$9,10,FALSE())</f>
        <v>45689</v>
      </c>
      <c r="I31" s="12" t="str">
        <f>VLOOKUP($D31,Master_Karyawan!$A$4:$Y$9,8,FALSE())</f>
        <v>TK/2</v>
      </c>
      <c r="J31" s="12" t="str">
        <f>VLOOKUP($D31,Master_Karyawan!$A$4:$Y$9,9,FALSE())</f>
        <v>B</v>
      </c>
      <c r="K31" s="12">
        <f t="shared" si="0"/>
        <v>1</v>
      </c>
      <c r="L31" s="15">
        <f>IF($K31=1,VLOOKUP($D31,Master_Karyawan!$A$4:$Y$9,19,FALSE()),0)</f>
        <v>14000000</v>
      </c>
      <c r="M31" s="15">
        <f>IF($K31=1,VLOOKUP($D31,Master_Karyawan!$A$4:$Y$9,20,FALSE()),0)</f>
        <v>2000000</v>
      </c>
      <c r="N31" s="15">
        <f>IF($K31=1,VLOOKUP($D31,Master_Karyawan!$A$4:$Y$9,21,FALSE()),0)</f>
        <v>650000</v>
      </c>
      <c r="O31" s="21">
        <v>290000</v>
      </c>
      <c r="P31" s="21">
        <v>0</v>
      </c>
      <c r="Q31" s="21">
        <v>0</v>
      </c>
      <c r="R31" s="21">
        <v>0</v>
      </c>
      <c r="S31" s="21">
        <v>0</v>
      </c>
      <c r="T31" s="15">
        <f t="shared" si="1"/>
        <v>16940000</v>
      </c>
      <c r="U31" s="15">
        <f t="shared" si="2"/>
        <v>16940000</v>
      </c>
      <c r="V31" s="15">
        <f>IF(AND($K31=1,VLOOKUP($D31,Master_Karyawan!$A$4:$Y$9,22,FALSE())="Y"),MIN(L31+M31+N31,Asumsi_Pajak!$B$8),0)</f>
        <v>12000000</v>
      </c>
      <c r="W31" s="15">
        <f>ROUND(V31*Asumsi_Pajak!$B$9,0)</f>
        <v>120000</v>
      </c>
      <c r="X31" s="15">
        <f>IF(AND($K31=1,VLOOKUP($D31,Master_Karyawan!$A$4:$Y$9,23,FALSE())="Y"),L31+M31+N31,0)</f>
        <v>16650000</v>
      </c>
      <c r="Y31" s="15">
        <f>ROUND(X31*Asumsi_Pajak!$B$11,0)</f>
        <v>333000</v>
      </c>
      <c r="Z31" s="15">
        <f>IF(AND($K31=1,VLOOKUP($D31,Master_Karyawan!$A$4:$Y$9,23,FALSE())="Y"),MIN(L31+M31+N31,Asumsi_Pajak!$B$12),0)</f>
        <v>10547000</v>
      </c>
      <c r="AA31" s="15">
        <f>ROUND(Z31*Asumsi_Pajak!$B$13,0)</f>
        <v>105470</v>
      </c>
      <c r="AB31" s="15">
        <f>MIN(ROUND(T31*Asumsi_Pajak!$B$5,0),Asumsi_Pajak!$B$6)</f>
        <v>500000</v>
      </c>
      <c r="AC31" s="15">
        <f t="shared" si="3"/>
        <v>16001530</v>
      </c>
      <c r="AD31" s="15">
        <f>VLOOKUP(I31,Asumsi_Pajak!$E$5:$F$12,2,FALSE())</f>
        <v>63000000</v>
      </c>
      <c r="AE31" s="16">
        <f>IF(J31="A",VLOOKUP(T31,Asumsi_Pajak!$J$5:$K$48,2,TRUE()),IF(J31="B",VLOOKUP(T31,Asumsi_Pajak!$M$5:$N$44,2,TRUE()),VLOOKUP(T31,Asumsi_Pajak!$P$5:$Q$45,2,TRUE())))</f>
        <v>7.0000000000000007E-2</v>
      </c>
      <c r="AF31" s="15">
        <f t="shared" si="4"/>
        <v>224608750</v>
      </c>
      <c r="AG31" s="15">
        <f>AF31-MIN(ROUND(AF31*Asumsi_Pajak!$B$5,0),Asumsi_Pajak!$B$7)-SUMIFS($Y$4:$Y$75,$D$4:$D$75,$D31,$A$4:$A$75,$A31)-SUMIFS($AA$4:$AA$75,$D$4:$D$75,$D31,$A$4:$A$75,$A31)</f>
        <v>213347110</v>
      </c>
      <c r="AH31" s="15">
        <f t="shared" si="5"/>
        <v>150347000</v>
      </c>
      <c r="AI31" s="15">
        <f t="shared" si="6"/>
        <v>16552050</v>
      </c>
      <c r="AJ31" s="15">
        <f t="shared" si="7"/>
        <v>1185800</v>
      </c>
      <c r="AK31" s="15">
        <f>ROUND(V31*Asumsi_Pajak!$B$10,0)</f>
        <v>480000</v>
      </c>
      <c r="AL31" s="15">
        <f>ROUND(X31*Asumsi_Pajak!$B$14,0)</f>
        <v>616050</v>
      </c>
      <c r="AM31" s="15">
        <f>ROUND(Z31*Asumsi_Pajak!$B$15,0)</f>
        <v>210940</v>
      </c>
      <c r="AN31" s="15">
        <f>ROUND(X31*VLOOKUP($D31,Master_Karyawan!$A$4:$Y$9,24,FALSE()),0)</f>
        <v>39960</v>
      </c>
      <c r="AO31" s="15">
        <f>ROUND(X31*Asumsi_Pajak!$B$16,0)</f>
        <v>49950</v>
      </c>
      <c r="AP31" s="15">
        <f t="shared" si="8"/>
        <v>19522700</v>
      </c>
      <c r="AQ31" s="15">
        <f t="shared" si="9"/>
        <v>15195730</v>
      </c>
    </row>
    <row r="32" spans="1:43" ht="14.4" x14ac:dyDescent="0.3">
      <c r="A32" s="18">
        <v>2026</v>
      </c>
      <c r="B32" s="18">
        <v>5</v>
      </c>
      <c r="C32" s="19">
        <v>46143</v>
      </c>
      <c r="D32" s="18" t="s">
        <v>92</v>
      </c>
      <c r="E32" s="12" t="str">
        <f>VLOOKUP($D32,Master_Karyawan!$A$4:$Y$9,4,FALSE())</f>
        <v>Rudi Hartono</v>
      </c>
      <c r="F32" s="12" t="str">
        <f>VLOOKUP($D32,Master_Karyawan!$A$4:$Y$9,11,FALSE())</f>
        <v>Operations</v>
      </c>
      <c r="G32" s="12" t="str">
        <f>VLOOKUP($D32,Master_Karyawan!$A$4:$Y$9,12,FALSE())</f>
        <v>Warehouse Lead</v>
      </c>
      <c r="H32" s="20">
        <f>VLOOKUP($D32,Master_Karyawan!$A$4:$Y$9,10,FALSE())</f>
        <v>44508</v>
      </c>
      <c r="I32" s="12" t="str">
        <f>VLOOKUP($D32,Master_Karyawan!$A$4:$Y$9,8,FALSE())</f>
        <v>K/0</v>
      </c>
      <c r="J32" s="12" t="str">
        <f>VLOOKUP($D32,Master_Karyawan!$A$4:$Y$9,9,FALSE())</f>
        <v>A</v>
      </c>
      <c r="K32" s="12">
        <f t="shared" si="0"/>
        <v>1</v>
      </c>
      <c r="L32" s="15">
        <f>IF($K32=1,VLOOKUP($D32,Master_Karyawan!$A$4:$Y$9,19,FALSE()),0)</f>
        <v>7500000</v>
      </c>
      <c r="M32" s="15">
        <f>IF($K32=1,VLOOKUP($D32,Master_Karyawan!$A$4:$Y$9,20,FALSE()),0)</f>
        <v>1000000</v>
      </c>
      <c r="N32" s="15">
        <f>IF($K32=1,VLOOKUP($D32,Master_Karyawan!$A$4:$Y$9,21,FALSE()),0)</f>
        <v>400000</v>
      </c>
      <c r="O32" s="21">
        <v>320000</v>
      </c>
      <c r="P32" s="21">
        <v>0</v>
      </c>
      <c r="Q32" s="21">
        <v>0</v>
      </c>
      <c r="R32" s="21">
        <v>0</v>
      </c>
      <c r="S32" s="21">
        <v>0</v>
      </c>
      <c r="T32" s="15">
        <f t="shared" si="1"/>
        <v>9220000</v>
      </c>
      <c r="U32" s="15">
        <f t="shared" si="2"/>
        <v>9220000</v>
      </c>
      <c r="V32" s="15">
        <f>IF(AND($K32=1,VLOOKUP($D32,Master_Karyawan!$A$4:$Y$9,22,FALSE())="Y"),MIN(L32+M32+N32,Asumsi_Pajak!$B$8),0)</f>
        <v>8900000</v>
      </c>
      <c r="W32" s="15">
        <f>ROUND(V32*Asumsi_Pajak!$B$9,0)</f>
        <v>89000</v>
      </c>
      <c r="X32" s="15">
        <f>IF(AND($K32=1,VLOOKUP($D32,Master_Karyawan!$A$4:$Y$9,23,FALSE())="Y"),L32+M32+N32,0)</f>
        <v>8900000</v>
      </c>
      <c r="Y32" s="15">
        <f>ROUND(X32*Asumsi_Pajak!$B$11,0)</f>
        <v>178000</v>
      </c>
      <c r="Z32" s="15">
        <f>IF(AND($K32=1,VLOOKUP($D32,Master_Karyawan!$A$4:$Y$9,23,FALSE())="Y"),MIN(L32+M32+N32,Asumsi_Pajak!$B$12),0)</f>
        <v>8900000</v>
      </c>
      <c r="AA32" s="15">
        <f>ROUND(Z32*Asumsi_Pajak!$B$13,0)</f>
        <v>89000</v>
      </c>
      <c r="AB32" s="15">
        <f>MIN(ROUND(T32*Asumsi_Pajak!$B$5,0),Asumsi_Pajak!$B$6)</f>
        <v>461000</v>
      </c>
      <c r="AC32" s="15">
        <f t="shared" si="3"/>
        <v>8492000</v>
      </c>
      <c r="AD32" s="15">
        <f>VLOOKUP(I32,Asumsi_Pajak!$E$5:$F$12,2,FALSE())</f>
        <v>58500000</v>
      </c>
      <c r="AE32" s="16">
        <f>IF(J32="A",VLOOKUP(T32,Asumsi_Pajak!$J$5:$K$48,2,TRUE()),IF(J32="B",VLOOKUP(T32,Asumsi_Pajak!$M$5:$N$44,2,TRUE()),VLOOKUP(T32,Asumsi_Pajak!$P$5:$Q$45,2,TRUE())))</f>
        <v>1.7500000000000002E-2</v>
      </c>
      <c r="AF32" s="15">
        <f t="shared" si="4"/>
        <v>121845000</v>
      </c>
      <c r="AG32" s="15">
        <f>AF32-MIN(ROUND(AF32*Asumsi_Pajak!$B$5,0),Asumsi_Pajak!$B$7)-SUMIFS($Y$4:$Y$75,$D$4:$D$75,$D32,$A$4:$A$75,$A32)-SUMIFS($AA$4:$AA$75,$D$4:$D$75,$D32,$A$4:$A$75,$A32)</f>
        <v>112641000</v>
      </c>
      <c r="AH32" s="15">
        <f t="shared" si="5"/>
        <v>54141000</v>
      </c>
      <c r="AI32" s="15">
        <f t="shared" si="6"/>
        <v>2707050</v>
      </c>
      <c r="AJ32" s="15">
        <f t="shared" si="7"/>
        <v>161350</v>
      </c>
      <c r="AK32" s="15">
        <f>ROUND(V32*Asumsi_Pajak!$B$10,0)</f>
        <v>356000</v>
      </c>
      <c r="AL32" s="15">
        <f>ROUND(X32*Asumsi_Pajak!$B$14,0)</f>
        <v>329300</v>
      </c>
      <c r="AM32" s="15">
        <f>ROUND(Z32*Asumsi_Pajak!$B$15,0)</f>
        <v>178000</v>
      </c>
      <c r="AN32" s="15">
        <f>ROUND(X32*VLOOKUP($D32,Master_Karyawan!$A$4:$Y$9,24,FALSE()),0)</f>
        <v>48060</v>
      </c>
      <c r="AO32" s="15">
        <f>ROUND(X32*Asumsi_Pajak!$B$16,0)</f>
        <v>26700</v>
      </c>
      <c r="AP32" s="15">
        <f t="shared" si="8"/>
        <v>10319410</v>
      </c>
      <c r="AQ32" s="15">
        <f t="shared" si="9"/>
        <v>8702650</v>
      </c>
    </row>
    <row r="33" spans="1:43" ht="14.4" x14ac:dyDescent="0.3">
      <c r="A33" s="18">
        <v>2026</v>
      </c>
      <c r="B33" s="18">
        <v>5</v>
      </c>
      <c r="C33" s="19">
        <v>46143</v>
      </c>
      <c r="D33" s="18" t="s">
        <v>104</v>
      </c>
      <c r="E33" s="12" t="str">
        <f>VLOOKUP($D33,Master_Karyawan!$A$4:$Y$9,4,FALSE())</f>
        <v>Maya Putri</v>
      </c>
      <c r="F33" s="12" t="str">
        <f>VLOOKUP($D33,Master_Karyawan!$A$4:$Y$9,11,FALSE())</f>
        <v>Marketing</v>
      </c>
      <c r="G33" s="12" t="str">
        <f>VLOOKUP($D33,Master_Karyawan!$A$4:$Y$9,12,FALSE())</f>
        <v>Marketing Specialist</v>
      </c>
      <c r="H33" s="20">
        <f>VLOOKUP($D33,Master_Karyawan!$A$4:$Y$9,10,FALSE())</f>
        <v>45537</v>
      </c>
      <c r="I33" s="12" t="str">
        <f>VLOOKUP($D33,Master_Karyawan!$A$4:$Y$9,8,FALSE())</f>
        <v>TK/1</v>
      </c>
      <c r="J33" s="12" t="str">
        <f>VLOOKUP($D33,Master_Karyawan!$A$4:$Y$9,9,FALSE())</f>
        <v>A</v>
      </c>
      <c r="K33" s="12">
        <f t="shared" si="0"/>
        <v>1</v>
      </c>
      <c r="L33" s="15">
        <f>IF($K33=1,VLOOKUP($D33,Master_Karyawan!$A$4:$Y$9,19,FALSE()),0)</f>
        <v>12500000</v>
      </c>
      <c r="M33" s="15">
        <f>IF($K33=1,VLOOKUP($D33,Master_Karyawan!$A$4:$Y$9,20,FALSE()),0)</f>
        <v>2000000</v>
      </c>
      <c r="N33" s="15">
        <f>IF($K33=1,VLOOKUP($D33,Master_Karyawan!$A$4:$Y$9,21,FALSE()),0)</f>
        <v>600000</v>
      </c>
      <c r="O33" s="21">
        <v>350000</v>
      </c>
      <c r="P33" s="21">
        <v>0</v>
      </c>
      <c r="Q33" s="21">
        <v>0</v>
      </c>
      <c r="R33" s="21">
        <v>0</v>
      </c>
      <c r="S33" s="21">
        <v>0</v>
      </c>
      <c r="T33" s="15">
        <f t="shared" si="1"/>
        <v>15450000</v>
      </c>
      <c r="U33" s="15">
        <f t="shared" si="2"/>
        <v>15450000</v>
      </c>
      <c r="V33" s="15">
        <f>IF(AND($K33=1,VLOOKUP($D33,Master_Karyawan!$A$4:$Y$9,22,FALSE())="Y"),MIN(L33+M33+N33,Asumsi_Pajak!$B$8),0)</f>
        <v>12000000</v>
      </c>
      <c r="W33" s="15">
        <f>ROUND(V33*Asumsi_Pajak!$B$9,0)</f>
        <v>120000</v>
      </c>
      <c r="X33" s="15">
        <f>IF(AND($K33=1,VLOOKUP($D33,Master_Karyawan!$A$4:$Y$9,23,FALSE())="Y"),L33+M33+N33,0)</f>
        <v>15100000</v>
      </c>
      <c r="Y33" s="15">
        <f>ROUND(X33*Asumsi_Pajak!$B$11,0)</f>
        <v>302000</v>
      </c>
      <c r="Z33" s="15">
        <f>IF(AND($K33=1,VLOOKUP($D33,Master_Karyawan!$A$4:$Y$9,23,FALSE())="Y"),MIN(L33+M33+N33,Asumsi_Pajak!$B$12),0)</f>
        <v>10547000</v>
      </c>
      <c r="AA33" s="15">
        <f>ROUND(Z33*Asumsi_Pajak!$B$13,0)</f>
        <v>105470</v>
      </c>
      <c r="AB33" s="15">
        <f>MIN(ROUND(T33*Asumsi_Pajak!$B$5,0),Asumsi_Pajak!$B$6)</f>
        <v>500000</v>
      </c>
      <c r="AC33" s="15">
        <f t="shared" si="3"/>
        <v>14542530</v>
      </c>
      <c r="AD33" s="15">
        <f>VLOOKUP(I33,Asumsi_Pajak!$E$5:$F$12,2,FALSE())</f>
        <v>58500000</v>
      </c>
      <c r="AE33" s="16">
        <f>IF(J33="A",VLOOKUP(T33,Asumsi_Pajak!$J$5:$K$48,2,TRUE()),IF(J33="B",VLOOKUP(T33,Asumsi_Pajak!$M$5:$N$44,2,TRUE()),VLOOKUP(T33,Asumsi_Pajak!$P$5:$Q$45,2,TRUE())))</f>
        <v>7.0000000000000007E-2</v>
      </c>
      <c r="AF33" s="15">
        <f t="shared" si="4"/>
        <v>205381250</v>
      </c>
      <c r="AG33" s="15">
        <f>AF33-MIN(ROUND(AF33*Asumsi_Pajak!$B$5,0),Asumsi_Pajak!$B$7)-SUMIFS($Y$4:$Y$75,$D$4:$D$75,$D33,$A$4:$A$75,$A33)-SUMIFS($AA$4:$AA$75,$D$4:$D$75,$D33,$A$4:$A$75,$A33)</f>
        <v>194491610</v>
      </c>
      <c r="AH33" s="15">
        <f t="shared" si="5"/>
        <v>135991000</v>
      </c>
      <c r="AI33" s="15">
        <f t="shared" si="6"/>
        <v>14398650</v>
      </c>
      <c r="AJ33" s="15">
        <f t="shared" si="7"/>
        <v>1081500</v>
      </c>
      <c r="AK33" s="15">
        <f>ROUND(V33*Asumsi_Pajak!$B$10,0)</f>
        <v>480000</v>
      </c>
      <c r="AL33" s="15">
        <f>ROUND(X33*Asumsi_Pajak!$B$14,0)</f>
        <v>558700</v>
      </c>
      <c r="AM33" s="15">
        <f>ROUND(Z33*Asumsi_Pajak!$B$15,0)</f>
        <v>210940</v>
      </c>
      <c r="AN33" s="15">
        <f>ROUND(X33*VLOOKUP($D33,Master_Karyawan!$A$4:$Y$9,24,FALSE()),0)</f>
        <v>36240</v>
      </c>
      <c r="AO33" s="15">
        <f>ROUND(X33*Asumsi_Pajak!$B$16,0)</f>
        <v>45300</v>
      </c>
      <c r="AP33" s="15">
        <f t="shared" si="8"/>
        <v>17862680</v>
      </c>
      <c r="AQ33" s="15">
        <f t="shared" si="9"/>
        <v>13841030</v>
      </c>
    </row>
    <row r="34" spans="1:43" ht="14.4" x14ac:dyDescent="0.3">
      <c r="A34" s="18">
        <v>2026</v>
      </c>
      <c r="B34" s="18">
        <v>6</v>
      </c>
      <c r="C34" s="19">
        <v>46174</v>
      </c>
      <c r="D34" s="18" t="s">
        <v>34</v>
      </c>
      <c r="E34" s="12" t="str">
        <f>VLOOKUP($D34,Master_Karyawan!$A$4:$Y$9,4,FALSE())</f>
        <v>Andi Pratama</v>
      </c>
      <c r="F34" s="12" t="str">
        <f>VLOOKUP($D34,Master_Karyawan!$A$4:$Y$9,11,FALSE())</f>
        <v>Sales</v>
      </c>
      <c r="G34" s="12" t="str">
        <f>VLOOKUP($D34,Master_Karyawan!$A$4:$Y$9,12,FALSE())</f>
        <v>Sales Executive</v>
      </c>
      <c r="H34" s="20">
        <f>VLOOKUP($D34,Master_Karyawan!$A$4:$Y$9,10,FALSE())</f>
        <v>45301</v>
      </c>
      <c r="I34" s="12" t="str">
        <f>VLOOKUP($D34,Master_Karyawan!$A$4:$Y$9,8,FALSE())</f>
        <v>TK/0</v>
      </c>
      <c r="J34" s="12" t="str">
        <f>VLOOKUP($D34,Master_Karyawan!$A$4:$Y$9,9,FALSE())</f>
        <v>A</v>
      </c>
      <c r="K34" s="12">
        <f t="shared" si="0"/>
        <v>1</v>
      </c>
      <c r="L34" s="15">
        <f>IF($K34=1,VLOOKUP($D34,Master_Karyawan!$A$4:$Y$9,19,FALSE()),0)</f>
        <v>8000000</v>
      </c>
      <c r="M34" s="15">
        <f>IF($K34=1,VLOOKUP($D34,Master_Karyawan!$A$4:$Y$9,20,FALSE()),0)</f>
        <v>1000000</v>
      </c>
      <c r="N34" s="15">
        <f>IF($K34=1,VLOOKUP($D34,Master_Karyawan!$A$4:$Y$9,21,FALSE()),0)</f>
        <v>500000</v>
      </c>
      <c r="O34" s="21">
        <v>300000</v>
      </c>
      <c r="P34" s="21">
        <v>0</v>
      </c>
      <c r="Q34" s="21">
        <v>0</v>
      </c>
      <c r="R34" s="21">
        <v>50000</v>
      </c>
      <c r="S34" s="21">
        <v>0</v>
      </c>
      <c r="T34" s="15">
        <f t="shared" si="1"/>
        <v>9800000</v>
      </c>
      <c r="U34" s="15">
        <f t="shared" si="2"/>
        <v>9850000</v>
      </c>
      <c r="V34" s="15">
        <f>IF(AND($K34=1,VLOOKUP($D34,Master_Karyawan!$A$4:$Y$9,22,FALSE())="Y"),MIN(L34+M34+N34,Asumsi_Pajak!$B$8),0)</f>
        <v>9500000</v>
      </c>
      <c r="W34" s="15">
        <f>ROUND(V34*Asumsi_Pajak!$B$9,0)</f>
        <v>95000</v>
      </c>
      <c r="X34" s="15">
        <f>IF(AND($K34=1,VLOOKUP($D34,Master_Karyawan!$A$4:$Y$9,23,FALSE())="Y"),L34+M34+N34,0)</f>
        <v>9500000</v>
      </c>
      <c r="Y34" s="15">
        <f>ROUND(X34*Asumsi_Pajak!$B$11,0)</f>
        <v>190000</v>
      </c>
      <c r="Z34" s="15">
        <f>IF(AND($K34=1,VLOOKUP($D34,Master_Karyawan!$A$4:$Y$9,23,FALSE())="Y"),MIN(L34+M34+N34,Asumsi_Pajak!$B$12),0)</f>
        <v>9500000</v>
      </c>
      <c r="AA34" s="15">
        <f>ROUND(Z34*Asumsi_Pajak!$B$13,0)</f>
        <v>95000</v>
      </c>
      <c r="AB34" s="15">
        <f>MIN(ROUND(T34*Asumsi_Pajak!$B$5,0),Asumsi_Pajak!$B$6)</f>
        <v>490000</v>
      </c>
      <c r="AC34" s="15">
        <f t="shared" si="3"/>
        <v>9025000</v>
      </c>
      <c r="AD34" s="15">
        <f>VLOOKUP(I34,Asumsi_Pajak!$E$5:$F$12,2,FALSE())</f>
        <v>54000000</v>
      </c>
      <c r="AE34" s="16">
        <f>IF(J34="A",VLOOKUP(T34,Asumsi_Pajak!$J$5:$K$48,2,TRUE()),IF(J34="B",VLOOKUP(T34,Asumsi_Pajak!$M$5:$N$44,2,TRUE()),VLOOKUP(T34,Asumsi_Pajak!$P$5:$Q$45,2,TRUE())))</f>
        <v>0.02</v>
      </c>
      <c r="AF34" s="15">
        <f t="shared" si="4"/>
        <v>127625000</v>
      </c>
      <c r="AG34" s="15">
        <f>AF34-MIN(ROUND(AF34*Asumsi_Pajak!$B$5,0),Asumsi_Pajak!$B$7)-SUMIFS($Y$4:$Y$75,$D$4:$D$75,$D34,$A$4:$A$75,$A34)-SUMIFS($AA$4:$AA$75,$D$4:$D$75,$D34,$A$4:$A$75,$A34)</f>
        <v>118205000</v>
      </c>
      <c r="AH34" s="15">
        <f t="shared" si="5"/>
        <v>64205000</v>
      </c>
      <c r="AI34" s="15">
        <f t="shared" si="6"/>
        <v>3630750</v>
      </c>
      <c r="AJ34" s="15">
        <f t="shared" si="7"/>
        <v>196000</v>
      </c>
      <c r="AK34" s="15">
        <f>ROUND(V34*Asumsi_Pajak!$B$10,0)</f>
        <v>380000</v>
      </c>
      <c r="AL34" s="15">
        <f>ROUND(X34*Asumsi_Pajak!$B$14,0)</f>
        <v>351500</v>
      </c>
      <c r="AM34" s="15">
        <f>ROUND(Z34*Asumsi_Pajak!$B$15,0)</f>
        <v>190000</v>
      </c>
      <c r="AN34" s="15">
        <f>ROUND(X34*VLOOKUP($D34,Master_Karyawan!$A$4:$Y$9,24,FALSE()),0)</f>
        <v>22800</v>
      </c>
      <c r="AO34" s="15">
        <f>ROUND(X34*Asumsi_Pajak!$B$16,0)</f>
        <v>28500</v>
      </c>
      <c r="AP34" s="15">
        <f t="shared" si="8"/>
        <v>11018800</v>
      </c>
      <c r="AQ34" s="15">
        <f t="shared" si="9"/>
        <v>9274000</v>
      </c>
    </row>
    <row r="35" spans="1:43" ht="14.4" x14ac:dyDescent="0.3">
      <c r="A35" s="18">
        <v>2026</v>
      </c>
      <c r="B35" s="18">
        <v>6</v>
      </c>
      <c r="C35" s="19">
        <v>46174</v>
      </c>
      <c r="D35" s="18" t="s">
        <v>52</v>
      </c>
      <c r="E35" s="12" t="str">
        <f>VLOOKUP($D35,Master_Karyawan!$A$4:$Y$9,4,FALSE())</f>
        <v>Siti Nurhaliza</v>
      </c>
      <c r="F35" s="12" t="str">
        <f>VLOOKUP($D35,Master_Karyawan!$A$4:$Y$9,11,FALSE())</f>
        <v>HR</v>
      </c>
      <c r="G35" s="12" t="str">
        <f>VLOOKUP($D35,Master_Karyawan!$A$4:$Y$9,12,FALSE())</f>
        <v>HR Officer</v>
      </c>
      <c r="H35" s="20">
        <f>VLOOKUP($D35,Master_Karyawan!$A$4:$Y$9,10,FALSE())</f>
        <v>45108</v>
      </c>
      <c r="I35" s="12" t="str">
        <f>VLOOKUP($D35,Master_Karyawan!$A$4:$Y$9,8,FALSE())</f>
        <v>K/1</v>
      </c>
      <c r="J35" s="12" t="str">
        <f>VLOOKUP($D35,Master_Karyawan!$A$4:$Y$9,9,FALSE())</f>
        <v>B</v>
      </c>
      <c r="K35" s="12">
        <f t="shared" si="0"/>
        <v>1</v>
      </c>
      <c r="L35" s="15">
        <f>IF($K35=1,VLOOKUP($D35,Master_Karyawan!$A$4:$Y$9,19,FALSE()),0)</f>
        <v>10500000</v>
      </c>
      <c r="M35" s="15">
        <f>IF($K35=1,VLOOKUP($D35,Master_Karyawan!$A$4:$Y$9,20,FALSE()),0)</f>
        <v>1500000</v>
      </c>
      <c r="N35" s="15">
        <f>IF($K35=1,VLOOKUP($D35,Master_Karyawan!$A$4:$Y$9,21,FALSE()),0)</f>
        <v>500000</v>
      </c>
      <c r="O35" s="21">
        <v>345000</v>
      </c>
      <c r="P35" s="21">
        <v>0</v>
      </c>
      <c r="Q35" s="21">
        <v>0</v>
      </c>
      <c r="R35" s="21">
        <v>100000</v>
      </c>
      <c r="S35" s="21">
        <v>0</v>
      </c>
      <c r="T35" s="15">
        <f t="shared" si="1"/>
        <v>12845000</v>
      </c>
      <c r="U35" s="15">
        <f t="shared" si="2"/>
        <v>12945000</v>
      </c>
      <c r="V35" s="15">
        <f>IF(AND($K35=1,VLOOKUP($D35,Master_Karyawan!$A$4:$Y$9,22,FALSE())="Y"),MIN(L35+M35+N35,Asumsi_Pajak!$B$8),0)</f>
        <v>12000000</v>
      </c>
      <c r="W35" s="15">
        <f>ROUND(V35*Asumsi_Pajak!$B$9,0)</f>
        <v>120000</v>
      </c>
      <c r="X35" s="15">
        <f>IF(AND($K35=1,VLOOKUP($D35,Master_Karyawan!$A$4:$Y$9,23,FALSE())="Y"),L35+M35+N35,0)</f>
        <v>12500000</v>
      </c>
      <c r="Y35" s="15">
        <f>ROUND(X35*Asumsi_Pajak!$B$11,0)</f>
        <v>250000</v>
      </c>
      <c r="Z35" s="15">
        <f>IF(AND($K35=1,VLOOKUP($D35,Master_Karyawan!$A$4:$Y$9,23,FALSE())="Y"),MIN(L35+M35+N35,Asumsi_Pajak!$B$12),0)</f>
        <v>10547000</v>
      </c>
      <c r="AA35" s="15">
        <f>ROUND(Z35*Asumsi_Pajak!$B$13,0)</f>
        <v>105470</v>
      </c>
      <c r="AB35" s="15">
        <f>MIN(ROUND(T35*Asumsi_Pajak!$B$5,0),Asumsi_Pajak!$B$6)</f>
        <v>500000</v>
      </c>
      <c r="AC35" s="15">
        <f t="shared" si="3"/>
        <v>11989530</v>
      </c>
      <c r="AD35" s="15">
        <f>VLOOKUP(I35,Asumsi_Pajak!$E$5:$F$12,2,FALSE())</f>
        <v>63000000</v>
      </c>
      <c r="AE35" s="16">
        <f>IF(J35="A",VLOOKUP(T35,Asumsi_Pajak!$J$5:$K$48,2,TRUE()),IF(J35="B",VLOOKUP(T35,Asumsi_Pajak!$M$5:$N$44,2,TRUE()),VLOOKUP(T35,Asumsi_Pajak!$P$5:$Q$45,2,TRUE())))</f>
        <v>0.04</v>
      </c>
      <c r="AF35" s="15">
        <f t="shared" si="4"/>
        <v>168016246</v>
      </c>
      <c r="AG35" s="15">
        <f>AF35-MIN(ROUND(AF35*Asumsi_Pajak!$B$5,0),Asumsi_Pajak!$B$7)-SUMIFS($Y$4:$Y$75,$D$4:$D$75,$D35,$A$4:$A$75,$A35)-SUMIFS($AA$4:$AA$75,$D$4:$D$75,$D35,$A$4:$A$75,$A35)</f>
        <v>157750606</v>
      </c>
      <c r="AH35" s="15">
        <f t="shared" si="5"/>
        <v>94750000</v>
      </c>
      <c r="AI35" s="15">
        <f t="shared" si="6"/>
        <v>8212500</v>
      </c>
      <c r="AJ35" s="15">
        <f t="shared" si="7"/>
        <v>513800</v>
      </c>
      <c r="AK35" s="15">
        <f>ROUND(V35*Asumsi_Pajak!$B$10,0)</f>
        <v>480000</v>
      </c>
      <c r="AL35" s="15">
        <f>ROUND(X35*Asumsi_Pajak!$B$14,0)</f>
        <v>462500</v>
      </c>
      <c r="AM35" s="15">
        <f>ROUND(Z35*Asumsi_Pajak!$B$15,0)</f>
        <v>210940</v>
      </c>
      <c r="AN35" s="15">
        <f>ROUND(X35*VLOOKUP($D35,Master_Karyawan!$A$4:$Y$9,24,FALSE()),0)</f>
        <v>30000</v>
      </c>
      <c r="AO35" s="15">
        <f>ROUND(X35*Asumsi_Pajak!$B$16,0)</f>
        <v>37500</v>
      </c>
      <c r="AP35" s="15">
        <f t="shared" si="8"/>
        <v>14679740</v>
      </c>
      <c r="AQ35" s="15">
        <f t="shared" si="9"/>
        <v>11955730</v>
      </c>
    </row>
    <row r="36" spans="1:43" ht="14.4" x14ac:dyDescent="0.3">
      <c r="A36" s="18">
        <v>2026</v>
      </c>
      <c r="B36" s="18">
        <v>6</v>
      </c>
      <c r="C36" s="19">
        <v>46174</v>
      </c>
      <c r="D36" s="18" t="s">
        <v>67</v>
      </c>
      <c r="E36" s="12" t="str">
        <f>VLOOKUP($D36,Master_Karyawan!$A$4:$Y$9,4,FALSE())</f>
        <v>Budi Santoso</v>
      </c>
      <c r="F36" s="12" t="str">
        <f>VLOOKUP($D36,Master_Karyawan!$A$4:$Y$9,11,FALSE())</f>
        <v>IT</v>
      </c>
      <c r="G36" s="12" t="str">
        <f>VLOOKUP($D36,Master_Karyawan!$A$4:$Y$9,12,FALSE())</f>
        <v>IT Supervisor</v>
      </c>
      <c r="H36" s="20">
        <f>VLOOKUP($D36,Master_Karyawan!$A$4:$Y$9,10,FALSE())</f>
        <v>44697</v>
      </c>
      <c r="I36" s="12" t="str">
        <f>VLOOKUP($D36,Master_Karyawan!$A$4:$Y$9,8,FALSE())</f>
        <v>K/3</v>
      </c>
      <c r="J36" s="12" t="str">
        <f>VLOOKUP($D36,Master_Karyawan!$A$4:$Y$9,9,FALSE())</f>
        <v>C</v>
      </c>
      <c r="K36" s="12">
        <f t="shared" ref="K36:K67" si="10">IF(DATE($A36,$B36,1)&gt;=DATE(YEAR($H36),MONTH($H36),1),1,0)</f>
        <v>1</v>
      </c>
      <c r="L36" s="15">
        <f>IF($K36=1,VLOOKUP($D36,Master_Karyawan!$A$4:$Y$9,19,FALSE()),0)</f>
        <v>18000000</v>
      </c>
      <c r="M36" s="15">
        <f>IF($K36=1,VLOOKUP($D36,Master_Karyawan!$A$4:$Y$9,20,FALSE()),0)</f>
        <v>3000000</v>
      </c>
      <c r="N36" s="15">
        <f>IF($K36=1,VLOOKUP($D36,Master_Karyawan!$A$4:$Y$9,21,FALSE()),0)</f>
        <v>750000</v>
      </c>
      <c r="O36" s="21">
        <v>390000</v>
      </c>
      <c r="P36" s="21">
        <v>0</v>
      </c>
      <c r="Q36" s="21">
        <v>0</v>
      </c>
      <c r="R36" s="21">
        <v>150000</v>
      </c>
      <c r="S36" s="21">
        <v>0</v>
      </c>
      <c r="T36" s="15">
        <f t="shared" ref="T36:T67" si="11">SUM(L36:Q36)</f>
        <v>22140000</v>
      </c>
      <c r="U36" s="15">
        <f t="shared" ref="U36:U67" si="12">T36+R36</f>
        <v>22290000</v>
      </c>
      <c r="V36" s="15">
        <f>IF(AND($K36=1,VLOOKUP($D36,Master_Karyawan!$A$4:$Y$9,22,FALSE())="Y"),MIN(L36+M36+N36,Asumsi_Pajak!$B$8),0)</f>
        <v>12000000</v>
      </c>
      <c r="W36" s="15">
        <f>ROUND(V36*Asumsi_Pajak!$B$9,0)</f>
        <v>120000</v>
      </c>
      <c r="X36" s="15">
        <f>IF(AND($K36=1,VLOOKUP($D36,Master_Karyawan!$A$4:$Y$9,23,FALSE())="Y"),L36+M36+N36,0)</f>
        <v>21750000</v>
      </c>
      <c r="Y36" s="15">
        <f>ROUND(X36*Asumsi_Pajak!$B$11,0)</f>
        <v>435000</v>
      </c>
      <c r="Z36" s="15">
        <f>IF(AND($K36=1,VLOOKUP($D36,Master_Karyawan!$A$4:$Y$9,23,FALSE())="Y"),MIN(L36+M36+N36,Asumsi_Pajak!$B$12),0)</f>
        <v>10547000</v>
      </c>
      <c r="AA36" s="15">
        <f>ROUND(Z36*Asumsi_Pajak!$B$13,0)</f>
        <v>105470</v>
      </c>
      <c r="AB36" s="15">
        <f>MIN(ROUND(T36*Asumsi_Pajak!$B$5,0),Asumsi_Pajak!$B$6)</f>
        <v>500000</v>
      </c>
      <c r="AC36" s="15">
        <f t="shared" ref="AC36:AC67" si="13">T36-AB36-Y36-AA36</f>
        <v>21099530</v>
      </c>
      <c r="AD36" s="15">
        <f>VLOOKUP(I36,Asumsi_Pajak!$E$5:$F$12,2,FALSE())</f>
        <v>72000000</v>
      </c>
      <c r="AE36" s="16">
        <f>IF(J36="A",VLOOKUP(T36,Asumsi_Pajak!$J$5:$K$48,2,TRUE()),IF(J36="B",VLOOKUP(T36,Asumsi_Pajak!$M$5:$N$44,2,TRUE()),VLOOKUP(T36,Asumsi_Pajak!$P$5:$Q$45,2,TRUE())))</f>
        <v>0.08</v>
      </c>
      <c r="AF36" s="15">
        <f t="shared" ref="AF36:AF67" si="14">SUMIFS($T$4:$T$75,$D$4:$D$75,$D36,$A$4:$A$75,$A36)</f>
        <v>291697500</v>
      </c>
      <c r="AG36" s="15">
        <f>AF36-MIN(ROUND(AF36*Asumsi_Pajak!$B$5,0),Asumsi_Pajak!$B$7)-SUMIFS($Y$4:$Y$75,$D$4:$D$75,$D36,$A$4:$A$75,$A36)-SUMIFS($AA$4:$AA$75,$D$4:$D$75,$D36,$A$4:$A$75,$A36)</f>
        <v>279211860</v>
      </c>
      <c r="AH36" s="15">
        <f t="shared" ref="AH36:AH67" si="15">MAX(0,ROUNDDOWN((AG36-AD36)/1000,0)*1000)</f>
        <v>207211000</v>
      </c>
      <c r="AI36" s="15">
        <f t="shared" ref="AI36:AI67" si="16">MAX(0,MIN(AH36,60000000)*5%+MAX(MIN(AH36,250000000)-60000000,0)*15%+MAX(MIN(AH36,500000000)-250000000,0)*25%+MAX(MIN(AH36,5000000000)-500000000,0)*30%+MAX(AH36-5000000000,0)*35%)</f>
        <v>25081650</v>
      </c>
      <c r="AJ36" s="15">
        <f t="shared" ref="AJ36:AJ67" si="17">IF(B36&lt;12,ROUND(T36*AE36,0),MAX(0,AI36-SUMIFS($AJ$4:$AJ$75,$D$4:$D$75,$D36,$A$4:$A$75,$A36,$B$4:$B$75,"&lt;12")))</f>
        <v>1771200</v>
      </c>
      <c r="AK36" s="15">
        <f>ROUND(V36*Asumsi_Pajak!$B$10,0)</f>
        <v>480000</v>
      </c>
      <c r="AL36" s="15">
        <f>ROUND(X36*Asumsi_Pajak!$B$14,0)</f>
        <v>804750</v>
      </c>
      <c r="AM36" s="15">
        <f>ROUND(Z36*Asumsi_Pajak!$B$15,0)</f>
        <v>210940</v>
      </c>
      <c r="AN36" s="15">
        <f>ROUND(X36*VLOOKUP($D36,Master_Karyawan!$A$4:$Y$9,24,FALSE()),0)</f>
        <v>117450</v>
      </c>
      <c r="AO36" s="15">
        <f>ROUND(X36*Asumsi_Pajak!$B$16,0)</f>
        <v>65250</v>
      </c>
      <c r="AP36" s="15">
        <f t="shared" ref="AP36:AP67" si="18">U36+AJ36+AK36+AL36+AM36+AN36+AO36</f>
        <v>25739590</v>
      </c>
      <c r="AQ36" s="15">
        <f t="shared" ref="AQ36:AQ67" si="19">U36-W36-Y36-AA36-AJ36-S36</f>
        <v>19858330</v>
      </c>
    </row>
    <row r="37" spans="1:43" ht="14.4" x14ac:dyDescent="0.3">
      <c r="A37" s="18">
        <v>2026</v>
      </c>
      <c r="B37" s="18">
        <v>6</v>
      </c>
      <c r="C37" s="19">
        <v>46174</v>
      </c>
      <c r="D37" s="18" t="s">
        <v>80</v>
      </c>
      <c r="E37" s="12" t="str">
        <f>VLOOKUP($D37,Master_Karyawan!$A$4:$Y$9,4,FALSE())</f>
        <v>Dewi Lestari</v>
      </c>
      <c r="F37" s="12" t="str">
        <f>VLOOKUP($D37,Master_Karyawan!$A$4:$Y$9,11,FALSE())</f>
        <v>Finance</v>
      </c>
      <c r="G37" s="12" t="str">
        <f>VLOOKUP($D37,Master_Karyawan!$A$4:$Y$9,12,FALSE())</f>
        <v>Finance Analyst</v>
      </c>
      <c r="H37" s="20">
        <f>VLOOKUP($D37,Master_Karyawan!$A$4:$Y$9,10,FALSE())</f>
        <v>45689</v>
      </c>
      <c r="I37" s="12" t="str">
        <f>VLOOKUP($D37,Master_Karyawan!$A$4:$Y$9,8,FALSE())</f>
        <v>TK/2</v>
      </c>
      <c r="J37" s="12" t="str">
        <f>VLOOKUP($D37,Master_Karyawan!$A$4:$Y$9,9,FALSE())</f>
        <v>B</v>
      </c>
      <c r="K37" s="12">
        <f t="shared" si="10"/>
        <v>1</v>
      </c>
      <c r="L37" s="15">
        <f>IF($K37=1,VLOOKUP($D37,Master_Karyawan!$A$4:$Y$9,19,FALSE()),0)</f>
        <v>14000000</v>
      </c>
      <c r="M37" s="15">
        <f>IF($K37=1,VLOOKUP($D37,Master_Karyawan!$A$4:$Y$9,20,FALSE()),0)</f>
        <v>2000000</v>
      </c>
      <c r="N37" s="15">
        <f>IF($K37=1,VLOOKUP($D37,Master_Karyawan!$A$4:$Y$9,21,FALSE()),0)</f>
        <v>650000</v>
      </c>
      <c r="O37" s="21">
        <v>435000</v>
      </c>
      <c r="P37" s="21">
        <v>0</v>
      </c>
      <c r="Q37" s="21">
        <v>0</v>
      </c>
      <c r="R37" s="21">
        <v>200000</v>
      </c>
      <c r="S37" s="21">
        <v>0</v>
      </c>
      <c r="T37" s="15">
        <f t="shared" si="11"/>
        <v>17085000</v>
      </c>
      <c r="U37" s="15">
        <f t="shared" si="12"/>
        <v>17285000</v>
      </c>
      <c r="V37" s="15">
        <f>IF(AND($K37=1,VLOOKUP($D37,Master_Karyawan!$A$4:$Y$9,22,FALSE())="Y"),MIN(L37+M37+N37,Asumsi_Pajak!$B$8),0)</f>
        <v>12000000</v>
      </c>
      <c r="W37" s="15">
        <f>ROUND(V37*Asumsi_Pajak!$B$9,0)</f>
        <v>120000</v>
      </c>
      <c r="X37" s="15">
        <f>IF(AND($K37=1,VLOOKUP($D37,Master_Karyawan!$A$4:$Y$9,23,FALSE())="Y"),L37+M37+N37,0)</f>
        <v>16650000</v>
      </c>
      <c r="Y37" s="15">
        <f>ROUND(X37*Asumsi_Pajak!$B$11,0)</f>
        <v>333000</v>
      </c>
      <c r="Z37" s="15">
        <f>IF(AND($K37=1,VLOOKUP($D37,Master_Karyawan!$A$4:$Y$9,23,FALSE())="Y"),MIN(L37+M37+N37,Asumsi_Pajak!$B$12),0)</f>
        <v>10547000</v>
      </c>
      <c r="AA37" s="15">
        <f>ROUND(Z37*Asumsi_Pajak!$B$13,0)</f>
        <v>105470</v>
      </c>
      <c r="AB37" s="15">
        <f>MIN(ROUND(T37*Asumsi_Pajak!$B$5,0),Asumsi_Pajak!$B$6)</f>
        <v>500000</v>
      </c>
      <c r="AC37" s="15">
        <f t="shared" si="13"/>
        <v>16146530</v>
      </c>
      <c r="AD37" s="15">
        <f>VLOOKUP(I37,Asumsi_Pajak!$E$5:$F$12,2,FALSE())</f>
        <v>63000000</v>
      </c>
      <c r="AE37" s="16">
        <f>IF(J37="A",VLOOKUP(T37,Asumsi_Pajak!$J$5:$K$48,2,TRUE()),IF(J37="B",VLOOKUP(T37,Asumsi_Pajak!$M$5:$N$44,2,TRUE()),VLOOKUP(T37,Asumsi_Pajak!$P$5:$Q$45,2,TRUE())))</f>
        <v>7.0000000000000007E-2</v>
      </c>
      <c r="AF37" s="15">
        <f t="shared" si="14"/>
        <v>224608750</v>
      </c>
      <c r="AG37" s="15">
        <f>AF37-MIN(ROUND(AF37*Asumsi_Pajak!$B$5,0),Asumsi_Pajak!$B$7)-SUMIFS($Y$4:$Y$75,$D$4:$D$75,$D37,$A$4:$A$75,$A37)-SUMIFS($AA$4:$AA$75,$D$4:$D$75,$D37,$A$4:$A$75,$A37)</f>
        <v>213347110</v>
      </c>
      <c r="AH37" s="15">
        <f t="shared" si="15"/>
        <v>150347000</v>
      </c>
      <c r="AI37" s="15">
        <f t="shared" si="16"/>
        <v>16552050</v>
      </c>
      <c r="AJ37" s="15">
        <f t="shared" si="17"/>
        <v>1195950</v>
      </c>
      <c r="AK37" s="15">
        <f>ROUND(V37*Asumsi_Pajak!$B$10,0)</f>
        <v>480000</v>
      </c>
      <c r="AL37" s="15">
        <f>ROUND(X37*Asumsi_Pajak!$B$14,0)</f>
        <v>616050</v>
      </c>
      <c r="AM37" s="15">
        <f>ROUND(Z37*Asumsi_Pajak!$B$15,0)</f>
        <v>210940</v>
      </c>
      <c r="AN37" s="15">
        <f>ROUND(X37*VLOOKUP($D37,Master_Karyawan!$A$4:$Y$9,24,FALSE()),0)</f>
        <v>39960</v>
      </c>
      <c r="AO37" s="15">
        <f>ROUND(X37*Asumsi_Pajak!$B$16,0)</f>
        <v>49950</v>
      </c>
      <c r="AP37" s="15">
        <f t="shared" si="18"/>
        <v>19877850</v>
      </c>
      <c r="AQ37" s="15">
        <f t="shared" si="19"/>
        <v>15530580</v>
      </c>
    </row>
    <row r="38" spans="1:43" ht="14.4" x14ac:dyDescent="0.3">
      <c r="A38" s="18">
        <v>2026</v>
      </c>
      <c r="B38" s="18">
        <v>6</v>
      </c>
      <c r="C38" s="19">
        <v>46174</v>
      </c>
      <c r="D38" s="18" t="s">
        <v>92</v>
      </c>
      <c r="E38" s="12" t="str">
        <f>VLOOKUP($D38,Master_Karyawan!$A$4:$Y$9,4,FALSE())</f>
        <v>Rudi Hartono</v>
      </c>
      <c r="F38" s="12" t="str">
        <f>VLOOKUP($D38,Master_Karyawan!$A$4:$Y$9,11,FALSE())</f>
        <v>Operations</v>
      </c>
      <c r="G38" s="12" t="str">
        <f>VLOOKUP($D38,Master_Karyawan!$A$4:$Y$9,12,FALSE())</f>
        <v>Warehouse Lead</v>
      </c>
      <c r="H38" s="20">
        <f>VLOOKUP($D38,Master_Karyawan!$A$4:$Y$9,10,FALSE())</f>
        <v>44508</v>
      </c>
      <c r="I38" s="12" t="str">
        <f>VLOOKUP($D38,Master_Karyawan!$A$4:$Y$9,8,FALSE())</f>
        <v>K/0</v>
      </c>
      <c r="J38" s="12" t="str">
        <f>VLOOKUP($D38,Master_Karyawan!$A$4:$Y$9,9,FALSE())</f>
        <v>A</v>
      </c>
      <c r="K38" s="12">
        <f t="shared" si="10"/>
        <v>1</v>
      </c>
      <c r="L38" s="15">
        <f>IF($K38=1,VLOOKUP($D38,Master_Karyawan!$A$4:$Y$9,19,FALSE()),0)</f>
        <v>7500000</v>
      </c>
      <c r="M38" s="15">
        <f>IF($K38=1,VLOOKUP($D38,Master_Karyawan!$A$4:$Y$9,20,FALSE()),0)</f>
        <v>1000000</v>
      </c>
      <c r="N38" s="15">
        <f>IF($K38=1,VLOOKUP($D38,Master_Karyawan!$A$4:$Y$9,21,FALSE()),0)</f>
        <v>400000</v>
      </c>
      <c r="O38" s="21">
        <v>480000</v>
      </c>
      <c r="P38" s="21">
        <v>0</v>
      </c>
      <c r="Q38" s="21">
        <v>0</v>
      </c>
      <c r="R38" s="21">
        <v>250000</v>
      </c>
      <c r="S38" s="21">
        <v>0</v>
      </c>
      <c r="T38" s="15">
        <f t="shared" si="11"/>
        <v>9380000</v>
      </c>
      <c r="U38" s="15">
        <f t="shared" si="12"/>
        <v>9630000</v>
      </c>
      <c r="V38" s="15">
        <f>IF(AND($K38=1,VLOOKUP($D38,Master_Karyawan!$A$4:$Y$9,22,FALSE())="Y"),MIN(L38+M38+N38,Asumsi_Pajak!$B$8),0)</f>
        <v>8900000</v>
      </c>
      <c r="W38" s="15">
        <f>ROUND(V38*Asumsi_Pajak!$B$9,0)</f>
        <v>89000</v>
      </c>
      <c r="X38" s="15">
        <f>IF(AND($K38=1,VLOOKUP($D38,Master_Karyawan!$A$4:$Y$9,23,FALSE())="Y"),L38+M38+N38,0)</f>
        <v>8900000</v>
      </c>
      <c r="Y38" s="15">
        <f>ROUND(X38*Asumsi_Pajak!$B$11,0)</f>
        <v>178000</v>
      </c>
      <c r="Z38" s="15">
        <f>IF(AND($K38=1,VLOOKUP($D38,Master_Karyawan!$A$4:$Y$9,23,FALSE())="Y"),MIN(L38+M38+N38,Asumsi_Pajak!$B$12),0)</f>
        <v>8900000</v>
      </c>
      <c r="AA38" s="15">
        <f>ROUND(Z38*Asumsi_Pajak!$B$13,0)</f>
        <v>89000</v>
      </c>
      <c r="AB38" s="15">
        <f>MIN(ROUND(T38*Asumsi_Pajak!$B$5,0),Asumsi_Pajak!$B$6)</f>
        <v>469000</v>
      </c>
      <c r="AC38" s="15">
        <f t="shared" si="13"/>
        <v>8644000</v>
      </c>
      <c r="AD38" s="15">
        <f>VLOOKUP(I38,Asumsi_Pajak!$E$5:$F$12,2,FALSE())</f>
        <v>58500000</v>
      </c>
      <c r="AE38" s="16">
        <f>IF(J38="A",VLOOKUP(T38,Asumsi_Pajak!$J$5:$K$48,2,TRUE()),IF(J38="B",VLOOKUP(T38,Asumsi_Pajak!$M$5:$N$44,2,TRUE()),VLOOKUP(T38,Asumsi_Pajak!$P$5:$Q$45,2,TRUE())))</f>
        <v>1.7500000000000002E-2</v>
      </c>
      <c r="AF38" s="15">
        <f t="shared" si="14"/>
        <v>121845000</v>
      </c>
      <c r="AG38" s="15">
        <f>AF38-MIN(ROUND(AF38*Asumsi_Pajak!$B$5,0),Asumsi_Pajak!$B$7)-SUMIFS($Y$4:$Y$75,$D$4:$D$75,$D38,$A$4:$A$75,$A38)-SUMIFS($AA$4:$AA$75,$D$4:$D$75,$D38,$A$4:$A$75,$A38)</f>
        <v>112641000</v>
      </c>
      <c r="AH38" s="15">
        <f t="shared" si="15"/>
        <v>54141000</v>
      </c>
      <c r="AI38" s="15">
        <f t="shared" si="16"/>
        <v>2707050</v>
      </c>
      <c r="AJ38" s="15">
        <f t="shared" si="17"/>
        <v>164150</v>
      </c>
      <c r="AK38" s="15">
        <f>ROUND(V38*Asumsi_Pajak!$B$10,0)</f>
        <v>356000</v>
      </c>
      <c r="AL38" s="15">
        <f>ROUND(X38*Asumsi_Pajak!$B$14,0)</f>
        <v>329300</v>
      </c>
      <c r="AM38" s="15">
        <f>ROUND(Z38*Asumsi_Pajak!$B$15,0)</f>
        <v>178000</v>
      </c>
      <c r="AN38" s="15">
        <f>ROUND(X38*VLOOKUP($D38,Master_Karyawan!$A$4:$Y$9,24,FALSE()),0)</f>
        <v>48060</v>
      </c>
      <c r="AO38" s="15">
        <f>ROUND(X38*Asumsi_Pajak!$B$16,0)</f>
        <v>26700</v>
      </c>
      <c r="AP38" s="15">
        <f t="shared" si="18"/>
        <v>10732210</v>
      </c>
      <c r="AQ38" s="15">
        <f t="shared" si="19"/>
        <v>9109850</v>
      </c>
    </row>
    <row r="39" spans="1:43" ht="14.4" x14ac:dyDescent="0.3">
      <c r="A39" s="18">
        <v>2026</v>
      </c>
      <c r="B39" s="18">
        <v>6</v>
      </c>
      <c r="C39" s="19">
        <v>46174</v>
      </c>
      <c r="D39" s="18" t="s">
        <v>104</v>
      </c>
      <c r="E39" s="12" t="str">
        <f>VLOOKUP($D39,Master_Karyawan!$A$4:$Y$9,4,FALSE())</f>
        <v>Maya Putri</v>
      </c>
      <c r="F39" s="12" t="str">
        <f>VLOOKUP($D39,Master_Karyawan!$A$4:$Y$9,11,FALSE())</f>
        <v>Marketing</v>
      </c>
      <c r="G39" s="12" t="str">
        <f>VLOOKUP($D39,Master_Karyawan!$A$4:$Y$9,12,FALSE())</f>
        <v>Marketing Specialist</v>
      </c>
      <c r="H39" s="20">
        <f>VLOOKUP($D39,Master_Karyawan!$A$4:$Y$9,10,FALSE())</f>
        <v>45537</v>
      </c>
      <c r="I39" s="12" t="str">
        <f>VLOOKUP($D39,Master_Karyawan!$A$4:$Y$9,8,FALSE())</f>
        <v>TK/1</v>
      </c>
      <c r="J39" s="12" t="str">
        <f>VLOOKUP($D39,Master_Karyawan!$A$4:$Y$9,9,FALSE())</f>
        <v>A</v>
      </c>
      <c r="K39" s="12">
        <f t="shared" si="10"/>
        <v>1</v>
      </c>
      <c r="L39" s="15">
        <f>IF($K39=1,VLOOKUP($D39,Master_Karyawan!$A$4:$Y$9,19,FALSE()),0)</f>
        <v>12500000</v>
      </c>
      <c r="M39" s="15">
        <f>IF($K39=1,VLOOKUP($D39,Master_Karyawan!$A$4:$Y$9,20,FALSE()),0)</f>
        <v>2000000</v>
      </c>
      <c r="N39" s="15">
        <f>IF($K39=1,VLOOKUP($D39,Master_Karyawan!$A$4:$Y$9,21,FALSE()),0)</f>
        <v>600000</v>
      </c>
      <c r="O39" s="21">
        <v>525000</v>
      </c>
      <c r="P39" s="21">
        <v>0</v>
      </c>
      <c r="Q39" s="21">
        <v>0</v>
      </c>
      <c r="R39" s="21">
        <v>300000</v>
      </c>
      <c r="S39" s="21">
        <v>0</v>
      </c>
      <c r="T39" s="15">
        <f t="shared" si="11"/>
        <v>15625000</v>
      </c>
      <c r="U39" s="15">
        <f t="shared" si="12"/>
        <v>15925000</v>
      </c>
      <c r="V39" s="15">
        <f>IF(AND($K39=1,VLOOKUP($D39,Master_Karyawan!$A$4:$Y$9,22,FALSE())="Y"),MIN(L39+M39+N39,Asumsi_Pajak!$B$8),0)</f>
        <v>12000000</v>
      </c>
      <c r="W39" s="15">
        <f>ROUND(V39*Asumsi_Pajak!$B$9,0)</f>
        <v>120000</v>
      </c>
      <c r="X39" s="15">
        <f>IF(AND($K39=1,VLOOKUP($D39,Master_Karyawan!$A$4:$Y$9,23,FALSE())="Y"),L39+M39+N39,0)</f>
        <v>15100000</v>
      </c>
      <c r="Y39" s="15">
        <f>ROUND(X39*Asumsi_Pajak!$B$11,0)</f>
        <v>302000</v>
      </c>
      <c r="Z39" s="15">
        <f>IF(AND($K39=1,VLOOKUP($D39,Master_Karyawan!$A$4:$Y$9,23,FALSE())="Y"),MIN(L39+M39+N39,Asumsi_Pajak!$B$12),0)</f>
        <v>10547000</v>
      </c>
      <c r="AA39" s="15">
        <f>ROUND(Z39*Asumsi_Pajak!$B$13,0)</f>
        <v>105470</v>
      </c>
      <c r="AB39" s="15">
        <f>MIN(ROUND(T39*Asumsi_Pajak!$B$5,0),Asumsi_Pajak!$B$6)</f>
        <v>500000</v>
      </c>
      <c r="AC39" s="15">
        <f t="shared" si="13"/>
        <v>14717530</v>
      </c>
      <c r="AD39" s="15">
        <f>VLOOKUP(I39,Asumsi_Pajak!$E$5:$F$12,2,FALSE())</f>
        <v>58500000</v>
      </c>
      <c r="AE39" s="16">
        <f>IF(J39="A",VLOOKUP(T39,Asumsi_Pajak!$J$5:$K$48,2,TRUE()),IF(J39="B",VLOOKUP(T39,Asumsi_Pajak!$M$5:$N$44,2,TRUE()),VLOOKUP(T39,Asumsi_Pajak!$P$5:$Q$45,2,TRUE())))</f>
        <v>7.0000000000000007E-2</v>
      </c>
      <c r="AF39" s="15">
        <f t="shared" si="14"/>
        <v>205381250</v>
      </c>
      <c r="AG39" s="15">
        <f>AF39-MIN(ROUND(AF39*Asumsi_Pajak!$B$5,0),Asumsi_Pajak!$B$7)-SUMIFS($Y$4:$Y$75,$D$4:$D$75,$D39,$A$4:$A$75,$A39)-SUMIFS($AA$4:$AA$75,$D$4:$D$75,$D39,$A$4:$A$75,$A39)</f>
        <v>194491610</v>
      </c>
      <c r="AH39" s="15">
        <f t="shared" si="15"/>
        <v>135991000</v>
      </c>
      <c r="AI39" s="15">
        <f t="shared" si="16"/>
        <v>14398650</v>
      </c>
      <c r="AJ39" s="15">
        <f t="shared" si="17"/>
        <v>1093750</v>
      </c>
      <c r="AK39" s="15">
        <f>ROUND(V39*Asumsi_Pajak!$B$10,0)</f>
        <v>480000</v>
      </c>
      <c r="AL39" s="15">
        <f>ROUND(X39*Asumsi_Pajak!$B$14,0)</f>
        <v>558700</v>
      </c>
      <c r="AM39" s="15">
        <f>ROUND(Z39*Asumsi_Pajak!$B$15,0)</f>
        <v>210940</v>
      </c>
      <c r="AN39" s="15">
        <f>ROUND(X39*VLOOKUP($D39,Master_Karyawan!$A$4:$Y$9,24,FALSE()),0)</f>
        <v>36240</v>
      </c>
      <c r="AO39" s="15">
        <f>ROUND(X39*Asumsi_Pajak!$B$16,0)</f>
        <v>45300</v>
      </c>
      <c r="AP39" s="15">
        <f t="shared" si="18"/>
        <v>18349930</v>
      </c>
      <c r="AQ39" s="15">
        <f t="shared" si="19"/>
        <v>14303780</v>
      </c>
    </row>
    <row r="40" spans="1:43" ht="14.4" x14ac:dyDescent="0.3">
      <c r="A40" s="18">
        <v>2026</v>
      </c>
      <c r="B40" s="18">
        <v>7</v>
      </c>
      <c r="C40" s="19">
        <v>46204</v>
      </c>
      <c r="D40" s="18" t="s">
        <v>34</v>
      </c>
      <c r="E40" s="12" t="str">
        <f>VLOOKUP($D40,Master_Karyawan!$A$4:$Y$9,4,FALSE())</f>
        <v>Andi Pratama</v>
      </c>
      <c r="F40" s="12" t="str">
        <f>VLOOKUP($D40,Master_Karyawan!$A$4:$Y$9,11,FALSE())</f>
        <v>Sales</v>
      </c>
      <c r="G40" s="12" t="str">
        <f>VLOOKUP($D40,Master_Karyawan!$A$4:$Y$9,12,FALSE())</f>
        <v>Sales Executive</v>
      </c>
      <c r="H40" s="20">
        <f>VLOOKUP($D40,Master_Karyawan!$A$4:$Y$9,10,FALSE())</f>
        <v>45301</v>
      </c>
      <c r="I40" s="12" t="str">
        <f>VLOOKUP($D40,Master_Karyawan!$A$4:$Y$9,8,FALSE())</f>
        <v>TK/0</v>
      </c>
      <c r="J40" s="12" t="str">
        <f>VLOOKUP($D40,Master_Karyawan!$A$4:$Y$9,9,FALSE())</f>
        <v>A</v>
      </c>
      <c r="K40" s="12">
        <f t="shared" si="10"/>
        <v>1</v>
      </c>
      <c r="L40" s="15">
        <f>IF($K40=1,VLOOKUP($D40,Master_Karyawan!$A$4:$Y$9,19,FALSE()),0)</f>
        <v>8000000</v>
      </c>
      <c r="M40" s="15">
        <f>IF($K40=1,VLOOKUP($D40,Master_Karyawan!$A$4:$Y$9,20,FALSE()),0)</f>
        <v>1000000</v>
      </c>
      <c r="N40" s="15">
        <f>IF($K40=1,VLOOKUP($D40,Master_Karyawan!$A$4:$Y$9,21,FALSE()),0)</f>
        <v>500000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15">
        <f t="shared" si="11"/>
        <v>9500000</v>
      </c>
      <c r="U40" s="15">
        <f t="shared" si="12"/>
        <v>9500000</v>
      </c>
      <c r="V40" s="15">
        <f>IF(AND($K40=1,VLOOKUP($D40,Master_Karyawan!$A$4:$Y$9,22,FALSE())="Y"),MIN(L40+M40+N40,Asumsi_Pajak!$B$8),0)</f>
        <v>9500000</v>
      </c>
      <c r="W40" s="15">
        <f>ROUND(V40*Asumsi_Pajak!$B$9,0)</f>
        <v>95000</v>
      </c>
      <c r="X40" s="15">
        <f>IF(AND($K40=1,VLOOKUP($D40,Master_Karyawan!$A$4:$Y$9,23,FALSE())="Y"),L40+M40+N40,0)</f>
        <v>9500000</v>
      </c>
      <c r="Y40" s="15">
        <f>ROUND(X40*Asumsi_Pajak!$B$11,0)</f>
        <v>190000</v>
      </c>
      <c r="Z40" s="15">
        <f>IF(AND($K40=1,VLOOKUP($D40,Master_Karyawan!$A$4:$Y$9,23,FALSE())="Y"),MIN(L40+M40+N40,Asumsi_Pajak!$B$12),0)</f>
        <v>9500000</v>
      </c>
      <c r="AA40" s="15">
        <f>ROUND(Z40*Asumsi_Pajak!$B$13,0)</f>
        <v>95000</v>
      </c>
      <c r="AB40" s="15">
        <f>MIN(ROUND(T40*Asumsi_Pajak!$B$5,0),Asumsi_Pajak!$B$6)</f>
        <v>475000</v>
      </c>
      <c r="AC40" s="15">
        <f t="shared" si="13"/>
        <v>8740000</v>
      </c>
      <c r="AD40" s="15">
        <f>VLOOKUP(I40,Asumsi_Pajak!$E$5:$F$12,2,FALSE())</f>
        <v>54000000</v>
      </c>
      <c r="AE40" s="16">
        <f>IF(J40="A",VLOOKUP(T40,Asumsi_Pajak!$J$5:$K$48,2,TRUE()),IF(J40="B",VLOOKUP(T40,Asumsi_Pajak!$M$5:$N$44,2,TRUE()),VLOOKUP(T40,Asumsi_Pajak!$P$5:$Q$45,2,TRUE())))</f>
        <v>1.7500000000000002E-2</v>
      </c>
      <c r="AF40" s="15">
        <f t="shared" si="14"/>
        <v>127625000</v>
      </c>
      <c r="AG40" s="15">
        <f>AF40-MIN(ROUND(AF40*Asumsi_Pajak!$B$5,0),Asumsi_Pajak!$B$7)-SUMIFS($Y$4:$Y$75,$D$4:$D$75,$D40,$A$4:$A$75,$A40)-SUMIFS($AA$4:$AA$75,$D$4:$D$75,$D40,$A$4:$A$75,$A40)</f>
        <v>118205000</v>
      </c>
      <c r="AH40" s="15">
        <f t="shared" si="15"/>
        <v>64205000</v>
      </c>
      <c r="AI40" s="15">
        <f t="shared" si="16"/>
        <v>3630750</v>
      </c>
      <c r="AJ40" s="15">
        <f t="shared" si="17"/>
        <v>166250</v>
      </c>
      <c r="AK40" s="15">
        <f>ROUND(V40*Asumsi_Pajak!$B$10,0)</f>
        <v>380000</v>
      </c>
      <c r="AL40" s="15">
        <f>ROUND(X40*Asumsi_Pajak!$B$14,0)</f>
        <v>351500</v>
      </c>
      <c r="AM40" s="15">
        <f>ROUND(Z40*Asumsi_Pajak!$B$15,0)</f>
        <v>190000</v>
      </c>
      <c r="AN40" s="15">
        <f>ROUND(X40*VLOOKUP($D40,Master_Karyawan!$A$4:$Y$9,24,FALSE()),0)</f>
        <v>22800</v>
      </c>
      <c r="AO40" s="15">
        <f>ROUND(X40*Asumsi_Pajak!$B$16,0)</f>
        <v>28500</v>
      </c>
      <c r="AP40" s="15">
        <f t="shared" si="18"/>
        <v>10639050</v>
      </c>
      <c r="AQ40" s="15">
        <f t="shared" si="19"/>
        <v>8953750</v>
      </c>
    </row>
    <row r="41" spans="1:43" ht="14.4" x14ac:dyDescent="0.3">
      <c r="A41" s="18">
        <v>2026</v>
      </c>
      <c r="B41" s="18">
        <v>7</v>
      </c>
      <c r="C41" s="19">
        <v>46204</v>
      </c>
      <c r="D41" s="18" t="s">
        <v>52</v>
      </c>
      <c r="E41" s="12" t="str">
        <f>VLOOKUP($D41,Master_Karyawan!$A$4:$Y$9,4,FALSE())</f>
        <v>Siti Nurhaliza</v>
      </c>
      <c r="F41" s="12" t="str">
        <f>VLOOKUP($D41,Master_Karyawan!$A$4:$Y$9,11,FALSE())</f>
        <v>HR</v>
      </c>
      <c r="G41" s="12" t="str">
        <f>VLOOKUP($D41,Master_Karyawan!$A$4:$Y$9,12,FALSE())</f>
        <v>HR Officer</v>
      </c>
      <c r="H41" s="20">
        <f>VLOOKUP($D41,Master_Karyawan!$A$4:$Y$9,10,FALSE())</f>
        <v>45108</v>
      </c>
      <c r="I41" s="12" t="str">
        <f>VLOOKUP($D41,Master_Karyawan!$A$4:$Y$9,8,FALSE())</f>
        <v>K/1</v>
      </c>
      <c r="J41" s="12" t="str">
        <f>VLOOKUP($D41,Master_Karyawan!$A$4:$Y$9,9,FALSE())</f>
        <v>B</v>
      </c>
      <c r="K41" s="12">
        <f t="shared" si="10"/>
        <v>1</v>
      </c>
      <c r="L41" s="15">
        <f>IF($K41=1,VLOOKUP($D41,Master_Karyawan!$A$4:$Y$9,19,FALSE()),0)</f>
        <v>10500000</v>
      </c>
      <c r="M41" s="15">
        <f>IF($K41=1,VLOOKUP($D41,Master_Karyawan!$A$4:$Y$9,20,FALSE()),0)</f>
        <v>1500000</v>
      </c>
      <c r="N41" s="15">
        <f>IF($K41=1,VLOOKUP($D41,Master_Karyawan!$A$4:$Y$9,21,FALSE()),0)</f>
        <v>500000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15">
        <f t="shared" si="11"/>
        <v>12500000</v>
      </c>
      <c r="U41" s="15">
        <f t="shared" si="12"/>
        <v>12500000</v>
      </c>
      <c r="V41" s="15">
        <f>IF(AND($K41=1,VLOOKUP($D41,Master_Karyawan!$A$4:$Y$9,22,FALSE())="Y"),MIN(L41+M41+N41,Asumsi_Pajak!$B$8),0)</f>
        <v>12000000</v>
      </c>
      <c r="W41" s="15">
        <f>ROUND(V41*Asumsi_Pajak!$B$9,0)</f>
        <v>120000</v>
      </c>
      <c r="X41" s="15">
        <f>IF(AND($K41=1,VLOOKUP($D41,Master_Karyawan!$A$4:$Y$9,23,FALSE())="Y"),L41+M41+N41,0)</f>
        <v>12500000</v>
      </c>
      <c r="Y41" s="15">
        <f>ROUND(X41*Asumsi_Pajak!$B$11,0)</f>
        <v>250000</v>
      </c>
      <c r="Z41" s="15">
        <f>IF(AND($K41=1,VLOOKUP($D41,Master_Karyawan!$A$4:$Y$9,23,FALSE())="Y"),MIN(L41+M41+N41,Asumsi_Pajak!$B$12),0)</f>
        <v>10547000</v>
      </c>
      <c r="AA41" s="15">
        <f>ROUND(Z41*Asumsi_Pajak!$B$13,0)</f>
        <v>105470</v>
      </c>
      <c r="AB41" s="15">
        <f>MIN(ROUND(T41*Asumsi_Pajak!$B$5,0),Asumsi_Pajak!$B$6)</f>
        <v>500000</v>
      </c>
      <c r="AC41" s="15">
        <f t="shared" si="13"/>
        <v>11644530</v>
      </c>
      <c r="AD41" s="15">
        <f>VLOOKUP(I41,Asumsi_Pajak!$E$5:$F$12,2,FALSE())</f>
        <v>63000000</v>
      </c>
      <c r="AE41" s="16">
        <f>IF(J41="A",VLOOKUP(T41,Asumsi_Pajak!$J$5:$K$48,2,TRUE()),IF(J41="B",VLOOKUP(T41,Asumsi_Pajak!$M$5:$N$44,2,TRUE()),VLOOKUP(T41,Asumsi_Pajak!$P$5:$Q$45,2,TRUE())))</f>
        <v>0.03</v>
      </c>
      <c r="AF41" s="15">
        <f t="shared" si="14"/>
        <v>168016246</v>
      </c>
      <c r="AG41" s="15">
        <f>AF41-MIN(ROUND(AF41*Asumsi_Pajak!$B$5,0),Asumsi_Pajak!$B$7)-SUMIFS($Y$4:$Y$75,$D$4:$D$75,$D41,$A$4:$A$75,$A41)-SUMIFS($AA$4:$AA$75,$D$4:$D$75,$D41,$A$4:$A$75,$A41)</f>
        <v>157750606</v>
      </c>
      <c r="AH41" s="15">
        <f t="shared" si="15"/>
        <v>94750000</v>
      </c>
      <c r="AI41" s="15">
        <f t="shared" si="16"/>
        <v>8212500</v>
      </c>
      <c r="AJ41" s="15">
        <f t="shared" si="17"/>
        <v>375000</v>
      </c>
      <c r="AK41" s="15">
        <f>ROUND(V41*Asumsi_Pajak!$B$10,0)</f>
        <v>480000</v>
      </c>
      <c r="AL41" s="15">
        <f>ROUND(X41*Asumsi_Pajak!$B$14,0)</f>
        <v>462500</v>
      </c>
      <c r="AM41" s="15">
        <f>ROUND(Z41*Asumsi_Pajak!$B$15,0)</f>
        <v>210940</v>
      </c>
      <c r="AN41" s="15">
        <f>ROUND(X41*VLOOKUP($D41,Master_Karyawan!$A$4:$Y$9,24,FALSE()),0)</f>
        <v>30000</v>
      </c>
      <c r="AO41" s="15">
        <f>ROUND(X41*Asumsi_Pajak!$B$16,0)</f>
        <v>37500</v>
      </c>
      <c r="AP41" s="15">
        <f t="shared" si="18"/>
        <v>14095940</v>
      </c>
      <c r="AQ41" s="15">
        <f t="shared" si="19"/>
        <v>11649530</v>
      </c>
    </row>
    <row r="42" spans="1:43" ht="14.4" x14ac:dyDescent="0.3">
      <c r="A42" s="18">
        <v>2026</v>
      </c>
      <c r="B42" s="18">
        <v>7</v>
      </c>
      <c r="C42" s="19">
        <v>46204</v>
      </c>
      <c r="D42" s="18" t="s">
        <v>67</v>
      </c>
      <c r="E42" s="12" t="str">
        <f>VLOOKUP($D42,Master_Karyawan!$A$4:$Y$9,4,FALSE())</f>
        <v>Budi Santoso</v>
      </c>
      <c r="F42" s="12" t="str">
        <f>VLOOKUP($D42,Master_Karyawan!$A$4:$Y$9,11,FALSE())</f>
        <v>IT</v>
      </c>
      <c r="G42" s="12" t="str">
        <f>VLOOKUP($D42,Master_Karyawan!$A$4:$Y$9,12,FALSE())</f>
        <v>IT Supervisor</v>
      </c>
      <c r="H42" s="20">
        <f>VLOOKUP($D42,Master_Karyawan!$A$4:$Y$9,10,FALSE())</f>
        <v>44697</v>
      </c>
      <c r="I42" s="12" t="str">
        <f>VLOOKUP($D42,Master_Karyawan!$A$4:$Y$9,8,FALSE())</f>
        <v>K/3</v>
      </c>
      <c r="J42" s="12" t="str">
        <f>VLOOKUP($D42,Master_Karyawan!$A$4:$Y$9,9,FALSE())</f>
        <v>C</v>
      </c>
      <c r="K42" s="12">
        <f t="shared" si="10"/>
        <v>1</v>
      </c>
      <c r="L42" s="15">
        <f>IF($K42=1,VLOOKUP($D42,Master_Karyawan!$A$4:$Y$9,19,FALSE()),0)</f>
        <v>18000000</v>
      </c>
      <c r="M42" s="15">
        <f>IF($K42=1,VLOOKUP($D42,Master_Karyawan!$A$4:$Y$9,20,FALSE()),0)</f>
        <v>3000000</v>
      </c>
      <c r="N42" s="15">
        <f>IF($K42=1,VLOOKUP($D42,Master_Karyawan!$A$4:$Y$9,21,FALSE()),0)</f>
        <v>750000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15">
        <f t="shared" si="11"/>
        <v>21750000</v>
      </c>
      <c r="U42" s="15">
        <f t="shared" si="12"/>
        <v>21750000</v>
      </c>
      <c r="V42" s="15">
        <f>IF(AND($K42=1,VLOOKUP($D42,Master_Karyawan!$A$4:$Y$9,22,FALSE())="Y"),MIN(L42+M42+N42,Asumsi_Pajak!$B$8),0)</f>
        <v>12000000</v>
      </c>
      <c r="W42" s="15">
        <f>ROUND(V42*Asumsi_Pajak!$B$9,0)</f>
        <v>120000</v>
      </c>
      <c r="X42" s="15">
        <f>IF(AND($K42=1,VLOOKUP($D42,Master_Karyawan!$A$4:$Y$9,23,FALSE())="Y"),L42+M42+N42,0)</f>
        <v>21750000</v>
      </c>
      <c r="Y42" s="15">
        <f>ROUND(X42*Asumsi_Pajak!$B$11,0)</f>
        <v>435000</v>
      </c>
      <c r="Z42" s="15">
        <f>IF(AND($K42=1,VLOOKUP($D42,Master_Karyawan!$A$4:$Y$9,23,FALSE())="Y"),MIN(L42+M42+N42,Asumsi_Pajak!$B$12),0)</f>
        <v>10547000</v>
      </c>
      <c r="AA42" s="15">
        <f>ROUND(Z42*Asumsi_Pajak!$B$13,0)</f>
        <v>105470</v>
      </c>
      <c r="AB42" s="15">
        <f>MIN(ROUND(T42*Asumsi_Pajak!$B$5,0),Asumsi_Pajak!$B$6)</f>
        <v>500000</v>
      </c>
      <c r="AC42" s="15">
        <f t="shared" si="13"/>
        <v>20709530</v>
      </c>
      <c r="AD42" s="15">
        <f>VLOOKUP(I42,Asumsi_Pajak!$E$5:$F$12,2,FALSE())</f>
        <v>72000000</v>
      </c>
      <c r="AE42" s="16">
        <f>IF(J42="A",VLOOKUP(T42,Asumsi_Pajak!$J$5:$K$48,2,TRUE()),IF(J42="B",VLOOKUP(T42,Asumsi_Pajak!$M$5:$N$44,2,TRUE()),VLOOKUP(T42,Asumsi_Pajak!$P$5:$Q$45,2,TRUE())))</f>
        <v>0.08</v>
      </c>
      <c r="AF42" s="15">
        <f t="shared" si="14"/>
        <v>291697500</v>
      </c>
      <c r="AG42" s="15">
        <f>AF42-MIN(ROUND(AF42*Asumsi_Pajak!$B$5,0),Asumsi_Pajak!$B$7)-SUMIFS($Y$4:$Y$75,$D$4:$D$75,$D42,$A$4:$A$75,$A42)-SUMIFS($AA$4:$AA$75,$D$4:$D$75,$D42,$A$4:$A$75,$A42)</f>
        <v>279211860</v>
      </c>
      <c r="AH42" s="15">
        <f t="shared" si="15"/>
        <v>207211000</v>
      </c>
      <c r="AI42" s="15">
        <f t="shared" si="16"/>
        <v>25081650</v>
      </c>
      <c r="AJ42" s="15">
        <f t="shared" si="17"/>
        <v>1740000</v>
      </c>
      <c r="AK42" s="15">
        <f>ROUND(V42*Asumsi_Pajak!$B$10,0)</f>
        <v>480000</v>
      </c>
      <c r="AL42" s="15">
        <f>ROUND(X42*Asumsi_Pajak!$B$14,0)</f>
        <v>804750</v>
      </c>
      <c r="AM42" s="15">
        <f>ROUND(Z42*Asumsi_Pajak!$B$15,0)</f>
        <v>210940</v>
      </c>
      <c r="AN42" s="15">
        <f>ROUND(X42*VLOOKUP($D42,Master_Karyawan!$A$4:$Y$9,24,FALSE()),0)</f>
        <v>117450</v>
      </c>
      <c r="AO42" s="15">
        <f>ROUND(X42*Asumsi_Pajak!$B$16,0)</f>
        <v>65250</v>
      </c>
      <c r="AP42" s="15">
        <f t="shared" si="18"/>
        <v>25168390</v>
      </c>
      <c r="AQ42" s="15">
        <f t="shared" si="19"/>
        <v>19349530</v>
      </c>
    </row>
    <row r="43" spans="1:43" ht="14.4" x14ac:dyDescent="0.3">
      <c r="A43" s="18">
        <v>2026</v>
      </c>
      <c r="B43" s="18">
        <v>7</v>
      </c>
      <c r="C43" s="19">
        <v>46204</v>
      </c>
      <c r="D43" s="18" t="s">
        <v>80</v>
      </c>
      <c r="E43" s="12" t="str">
        <f>VLOOKUP($D43,Master_Karyawan!$A$4:$Y$9,4,FALSE())</f>
        <v>Dewi Lestari</v>
      </c>
      <c r="F43" s="12" t="str">
        <f>VLOOKUP($D43,Master_Karyawan!$A$4:$Y$9,11,FALSE())</f>
        <v>Finance</v>
      </c>
      <c r="G43" s="12" t="str">
        <f>VLOOKUP($D43,Master_Karyawan!$A$4:$Y$9,12,FALSE())</f>
        <v>Finance Analyst</v>
      </c>
      <c r="H43" s="20">
        <f>VLOOKUP($D43,Master_Karyawan!$A$4:$Y$9,10,FALSE())</f>
        <v>45689</v>
      </c>
      <c r="I43" s="12" t="str">
        <f>VLOOKUP($D43,Master_Karyawan!$A$4:$Y$9,8,FALSE())</f>
        <v>TK/2</v>
      </c>
      <c r="J43" s="12" t="str">
        <f>VLOOKUP($D43,Master_Karyawan!$A$4:$Y$9,9,FALSE())</f>
        <v>B</v>
      </c>
      <c r="K43" s="12">
        <f t="shared" si="10"/>
        <v>1</v>
      </c>
      <c r="L43" s="15">
        <f>IF($K43=1,VLOOKUP($D43,Master_Karyawan!$A$4:$Y$9,19,FALSE()),0)</f>
        <v>14000000</v>
      </c>
      <c r="M43" s="15">
        <f>IF($K43=1,VLOOKUP($D43,Master_Karyawan!$A$4:$Y$9,20,FALSE()),0)</f>
        <v>2000000</v>
      </c>
      <c r="N43" s="15">
        <f>IF($K43=1,VLOOKUP($D43,Master_Karyawan!$A$4:$Y$9,21,FALSE()),0)</f>
        <v>650000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15">
        <f t="shared" si="11"/>
        <v>16650000</v>
      </c>
      <c r="U43" s="15">
        <f t="shared" si="12"/>
        <v>16650000</v>
      </c>
      <c r="V43" s="15">
        <f>IF(AND($K43=1,VLOOKUP($D43,Master_Karyawan!$A$4:$Y$9,22,FALSE())="Y"),MIN(L43+M43+N43,Asumsi_Pajak!$B$8),0)</f>
        <v>12000000</v>
      </c>
      <c r="W43" s="15">
        <f>ROUND(V43*Asumsi_Pajak!$B$9,0)</f>
        <v>120000</v>
      </c>
      <c r="X43" s="15">
        <f>IF(AND($K43=1,VLOOKUP($D43,Master_Karyawan!$A$4:$Y$9,23,FALSE())="Y"),L43+M43+N43,0)</f>
        <v>16650000</v>
      </c>
      <c r="Y43" s="15">
        <f>ROUND(X43*Asumsi_Pajak!$B$11,0)</f>
        <v>333000</v>
      </c>
      <c r="Z43" s="15">
        <f>IF(AND($K43=1,VLOOKUP($D43,Master_Karyawan!$A$4:$Y$9,23,FALSE())="Y"),MIN(L43+M43+N43,Asumsi_Pajak!$B$12),0)</f>
        <v>10547000</v>
      </c>
      <c r="AA43" s="15">
        <f>ROUND(Z43*Asumsi_Pajak!$B$13,0)</f>
        <v>105470</v>
      </c>
      <c r="AB43" s="15">
        <f>MIN(ROUND(T43*Asumsi_Pajak!$B$5,0),Asumsi_Pajak!$B$6)</f>
        <v>500000</v>
      </c>
      <c r="AC43" s="15">
        <f t="shared" si="13"/>
        <v>15711530</v>
      </c>
      <c r="AD43" s="15">
        <f>VLOOKUP(I43,Asumsi_Pajak!$E$5:$F$12,2,FALSE())</f>
        <v>63000000</v>
      </c>
      <c r="AE43" s="16">
        <f>IF(J43="A",VLOOKUP(T43,Asumsi_Pajak!$J$5:$K$48,2,TRUE()),IF(J43="B",VLOOKUP(T43,Asumsi_Pajak!$M$5:$N$44,2,TRUE()),VLOOKUP(T43,Asumsi_Pajak!$P$5:$Q$45,2,TRUE())))</f>
        <v>7.0000000000000007E-2</v>
      </c>
      <c r="AF43" s="15">
        <f t="shared" si="14"/>
        <v>224608750</v>
      </c>
      <c r="AG43" s="15">
        <f>AF43-MIN(ROUND(AF43*Asumsi_Pajak!$B$5,0),Asumsi_Pajak!$B$7)-SUMIFS($Y$4:$Y$75,$D$4:$D$75,$D43,$A$4:$A$75,$A43)-SUMIFS($AA$4:$AA$75,$D$4:$D$75,$D43,$A$4:$A$75,$A43)</f>
        <v>213347110</v>
      </c>
      <c r="AH43" s="15">
        <f t="shared" si="15"/>
        <v>150347000</v>
      </c>
      <c r="AI43" s="15">
        <f t="shared" si="16"/>
        <v>16552050</v>
      </c>
      <c r="AJ43" s="15">
        <f t="shared" si="17"/>
        <v>1165500</v>
      </c>
      <c r="AK43" s="15">
        <f>ROUND(V43*Asumsi_Pajak!$B$10,0)</f>
        <v>480000</v>
      </c>
      <c r="AL43" s="15">
        <f>ROUND(X43*Asumsi_Pajak!$B$14,0)</f>
        <v>616050</v>
      </c>
      <c r="AM43" s="15">
        <f>ROUND(Z43*Asumsi_Pajak!$B$15,0)</f>
        <v>210940</v>
      </c>
      <c r="AN43" s="15">
        <f>ROUND(X43*VLOOKUP($D43,Master_Karyawan!$A$4:$Y$9,24,FALSE()),0)</f>
        <v>39960</v>
      </c>
      <c r="AO43" s="15">
        <f>ROUND(X43*Asumsi_Pajak!$B$16,0)</f>
        <v>49950</v>
      </c>
      <c r="AP43" s="15">
        <f t="shared" si="18"/>
        <v>19212400</v>
      </c>
      <c r="AQ43" s="15">
        <f t="shared" si="19"/>
        <v>14926030</v>
      </c>
    </row>
    <row r="44" spans="1:43" ht="14.4" x14ac:dyDescent="0.3">
      <c r="A44" s="18">
        <v>2026</v>
      </c>
      <c r="B44" s="18">
        <v>7</v>
      </c>
      <c r="C44" s="19">
        <v>46204</v>
      </c>
      <c r="D44" s="18" t="s">
        <v>92</v>
      </c>
      <c r="E44" s="12" t="str">
        <f>VLOOKUP($D44,Master_Karyawan!$A$4:$Y$9,4,FALSE())</f>
        <v>Rudi Hartono</v>
      </c>
      <c r="F44" s="12" t="str">
        <f>VLOOKUP($D44,Master_Karyawan!$A$4:$Y$9,11,FALSE())</f>
        <v>Operations</v>
      </c>
      <c r="G44" s="12" t="str">
        <f>VLOOKUP($D44,Master_Karyawan!$A$4:$Y$9,12,FALSE())</f>
        <v>Warehouse Lead</v>
      </c>
      <c r="H44" s="20">
        <f>VLOOKUP($D44,Master_Karyawan!$A$4:$Y$9,10,FALSE())</f>
        <v>44508</v>
      </c>
      <c r="I44" s="12" t="str">
        <f>VLOOKUP($D44,Master_Karyawan!$A$4:$Y$9,8,FALSE())</f>
        <v>K/0</v>
      </c>
      <c r="J44" s="12" t="str">
        <f>VLOOKUP($D44,Master_Karyawan!$A$4:$Y$9,9,FALSE())</f>
        <v>A</v>
      </c>
      <c r="K44" s="12">
        <f t="shared" si="10"/>
        <v>1</v>
      </c>
      <c r="L44" s="15">
        <f>IF($K44=1,VLOOKUP($D44,Master_Karyawan!$A$4:$Y$9,19,FALSE()),0)</f>
        <v>7500000</v>
      </c>
      <c r="M44" s="15">
        <f>IF($K44=1,VLOOKUP($D44,Master_Karyawan!$A$4:$Y$9,20,FALSE()),0)</f>
        <v>1000000</v>
      </c>
      <c r="N44" s="15">
        <f>IF($K44=1,VLOOKUP($D44,Master_Karyawan!$A$4:$Y$9,21,FALSE()),0)</f>
        <v>400000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15">
        <f t="shared" si="11"/>
        <v>8900000</v>
      </c>
      <c r="U44" s="15">
        <f t="shared" si="12"/>
        <v>8900000</v>
      </c>
      <c r="V44" s="15">
        <f>IF(AND($K44=1,VLOOKUP($D44,Master_Karyawan!$A$4:$Y$9,22,FALSE())="Y"),MIN(L44+M44+N44,Asumsi_Pajak!$B$8),0)</f>
        <v>8900000</v>
      </c>
      <c r="W44" s="15">
        <f>ROUND(V44*Asumsi_Pajak!$B$9,0)</f>
        <v>89000</v>
      </c>
      <c r="X44" s="15">
        <f>IF(AND($K44=1,VLOOKUP($D44,Master_Karyawan!$A$4:$Y$9,23,FALSE())="Y"),L44+M44+N44,0)</f>
        <v>8900000</v>
      </c>
      <c r="Y44" s="15">
        <f>ROUND(X44*Asumsi_Pajak!$B$11,0)</f>
        <v>178000</v>
      </c>
      <c r="Z44" s="15">
        <f>IF(AND($K44=1,VLOOKUP($D44,Master_Karyawan!$A$4:$Y$9,23,FALSE())="Y"),MIN(L44+M44+N44,Asumsi_Pajak!$B$12),0)</f>
        <v>8900000</v>
      </c>
      <c r="AA44" s="15">
        <f>ROUND(Z44*Asumsi_Pajak!$B$13,0)</f>
        <v>89000</v>
      </c>
      <c r="AB44" s="15">
        <f>MIN(ROUND(T44*Asumsi_Pajak!$B$5,0),Asumsi_Pajak!$B$6)</f>
        <v>445000</v>
      </c>
      <c r="AC44" s="15">
        <f t="shared" si="13"/>
        <v>8188000</v>
      </c>
      <c r="AD44" s="15">
        <f>VLOOKUP(I44,Asumsi_Pajak!$E$5:$F$12,2,FALSE())</f>
        <v>58500000</v>
      </c>
      <c r="AE44" s="16">
        <f>IF(J44="A",VLOOKUP(T44,Asumsi_Pajak!$J$5:$K$48,2,TRUE()),IF(J44="B",VLOOKUP(T44,Asumsi_Pajak!$M$5:$N$44,2,TRUE()),VLOOKUP(T44,Asumsi_Pajak!$P$5:$Q$45,2,TRUE())))</f>
        <v>1.7500000000000002E-2</v>
      </c>
      <c r="AF44" s="15">
        <f t="shared" si="14"/>
        <v>121845000</v>
      </c>
      <c r="AG44" s="15">
        <f>AF44-MIN(ROUND(AF44*Asumsi_Pajak!$B$5,0),Asumsi_Pajak!$B$7)-SUMIFS($Y$4:$Y$75,$D$4:$D$75,$D44,$A$4:$A$75,$A44)-SUMIFS($AA$4:$AA$75,$D$4:$D$75,$D44,$A$4:$A$75,$A44)</f>
        <v>112641000</v>
      </c>
      <c r="AH44" s="15">
        <f t="shared" si="15"/>
        <v>54141000</v>
      </c>
      <c r="AI44" s="15">
        <f t="shared" si="16"/>
        <v>2707050</v>
      </c>
      <c r="AJ44" s="15">
        <f t="shared" si="17"/>
        <v>155750</v>
      </c>
      <c r="AK44" s="15">
        <f>ROUND(V44*Asumsi_Pajak!$B$10,0)</f>
        <v>356000</v>
      </c>
      <c r="AL44" s="15">
        <f>ROUND(X44*Asumsi_Pajak!$B$14,0)</f>
        <v>329300</v>
      </c>
      <c r="AM44" s="15">
        <f>ROUND(Z44*Asumsi_Pajak!$B$15,0)</f>
        <v>178000</v>
      </c>
      <c r="AN44" s="15">
        <f>ROUND(X44*VLOOKUP($D44,Master_Karyawan!$A$4:$Y$9,24,FALSE()),0)</f>
        <v>48060</v>
      </c>
      <c r="AO44" s="15">
        <f>ROUND(X44*Asumsi_Pajak!$B$16,0)</f>
        <v>26700</v>
      </c>
      <c r="AP44" s="15">
        <f t="shared" si="18"/>
        <v>9993810</v>
      </c>
      <c r="AQ44" s="15">
        <f t="shared" si="19"/>
        <v>8388250</v>
      </c>
    </row>
    <row r="45" spans="1:43" ht="14.4" x14ac:dyDescent="0.3">
      <c r="A45" s="18">
        <v>2026</v>
      </c>
      <c r="B45" s="18">
        <v>7</v>
      </c>
      <c r="C45" s="19">
        <v>46204</v>
      </c>
      <c r="D45" s="18" t="s">
        <v>104</v>
      </c>
      <c r="E45" s="12" t="str">
        <f>VLOOKUP($D45,Master_Karyawan!$A$4:$Y$9,4,FALSE())</f>
        <v>Maya Putri</v>
      </c>
      <c r="F45" s="12" t="str">
        <f>VLOOKUP($D45,Master_Karyawan!$A$4:$Y$9,11,FALSE())</f>
        <v>Marketing</v>
      </c>
      <c r="G45" s="12" t="str">
        <f>VLOOKUP($D45,Master_Karyawan!$A$4:$Y$9,12,FALSE())</f>
        <v>Marketing Specialist</v>
      </c>
      <c r="H45" s="20">
        <f>VLOOKUP($D45,Master_Karyawan!$A$4:$Y$9,10,FALSE())</f>
        <v>45537</v>
      </c>
      <c r="I45" s="12" t="str">
        <f>VLOOKUP($D45,Master_Karyawan!$A$4:$Y$9,8,FALSE())</f>
        <v>TK/1</v>
      </c>
      <c r="J45" s="12" t="str">
        <f>VLOOKUP($D45,Master_Karyawan!$A$4:$Y$9,9,FALSE())</f>
        <v>A</v>
      </c>
      <c r="K45" s="12">
        <f t="shared" si="10"/>
        <v>1</v>
      </c>
      <c r="L45" s="15">
        <f>IF($K45=1,VLOOKUP($D45,Master_Karyawan!$A$4:$Y$9,19,FALSE()),0)</f>
        <v>12500000</v>
      </c>
      <c r="M45" s="15">
        <f>IF($K45=1,VLOOKUP($D45,Master_Karyawan!$A$4:$Y$9,20,FALSE()),0)</f>
        <v>2000000</v>
      </c>
      <c r="N45" s="15">
        <f>IF($K45=1,VLOOKUP($D45,Master_Karyawan!$A$4:$Y$9,21,FALSE()),0)</f>
        <v>600000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15">
        <f t="shared" si="11"/>
        <v>15100000</v>
      </c>
      <c r="U45" s="15">
        <f t="shared" si="12"/>
        <v>15100000</v>
      </c>
      <c r="V45" s="15">
        <f>IF(AND($K45=1,VLOOKUP($D45,Master_Karyawan!$A$4:$Y$9,22,FALSE())="Y"),MIN(L45+M45+N45,Asumsi_Pajak!$B$8),0)</f>
        <v>12000000</v>
      </c>
      <c r="W45" s="15">
        <f>ROUND(V45*Asumsi_Pajak!$B$9,0)</f>
        <v>120000</v>
      </c>
      <c r="X45" s="15">
        <f>IF(AND($K45=1,VLOOKUP($D45,Master_Karyawan!$A$4:$Y$9,23,FALSE())="Y"),L45+M45+N45,0)</f>
        <v>15100000</v>
      </c>
      <c r="Y45" s="15">
        <f>ROUND(X45*Asumsi_Pajak!$B$11,0)</f>
        <v>302000</v>
      </c>
      <c r="Z45" s="15">
        <f>IF(AND($K45=1,VLOOKUP($D45,Master_Karyawan!$A$4:$Y$9,23,FALSE())="Y"),MIN(L45+M45+N45,Asumsi_Pajak!$B$12),0)</f>
        <v>10547000</v>
      </c>
      <c r="AA45" s="15">
        <f>ROUND(Z45*Asumsi_Pajak!$B$13,0)</f>
        <v>105470</v>
      </c>
      <c r="AB45" s="15">
        <f>MIN(ROUND(T45*Asumsi_Pajak!$B$5,0),Asumsi_Pajak!$B$6)</f>
        <v>500000</v>
      </c>
      <c r="AC45" s="15">
        <f t="shared" si="13"/>
        <v>14192530</v>
      </c>
      <c r="AD45" s="15">
        <f>VLOOKUP(I45,Asumsi_Pajak!$E$5:$F$12,2,FALSE())</f>
        <v>58500000</v>
      </c>
      <c r="AE45" s="16">
        <f>IF(J45="A",VLOOKUP(T45,Asumsi_Pajak!$J$5:$K$48,2,TRUE()),IF(J45="B",VLOOKUP(T45,Asumsi_Pajak!$M$5:$N$44,2,TRUE()),VLOOKUP(T45,Asumsi_Pajak!$P$5:$Q$45,2,TRUE())))</f>
        <v>0.06</v>
      </c>
      <c r="AF45" s="15">
        <f t="shared" si="14"/>
        <v>205381250</v>
      </c>
      <c r="AG45" s="15">
        <f>AF45-MIN(ROUND(AF45*Asumsi_Pajak!$B$5,0),Asumsi_Pajak!$B$7)-SUMIFS($Y$4:$Y$75,$D$4:$D$75,$D45,$A$4:$A$75,$A45)-SUMIFS($AA$4:$AA$75,$D$4:$D$75,$D45,$A$4:$A$75,$A45)</f>
        <v>194491610</v>
      </c>
      <c r="AH45" s="15">
        <f t="shared" si="15"/>
        <v>135991000</v>
      </c>
      <c r="AI45" s="15">
        <f t="shared" si="16"/>
        <v>14398650</v>
      </c>
      <c r="AJ45" s="15">
        <f t="shared" si="17"/>
        <v>906000</v>
      </c>
      <c r="AK45" s="15">
        <f>ROUND(V45*Asumsi_Pajak!$B$10,0)</f>
        <v>480000</v>
      </c>
      <c r="AL45" s="15">
        <f>ROUND(X45*Asumsi_Pajak!$B$14,0)</f>
        <v>558700</v>
      </c>
      <c r="AM45" s="15">
        <f>ROUND(Z45*Asumsi_Pajak!$B$15,0)</f>
        <v>210940</v>
      </c>
      <c r="AN45" s="15">
        <f>ROUND(X45*VLOOKUP($D45,Master_Karyawan!$A$4:$Y$9,24,FALSE()),0)</f>
        <v>36240</v>
      </c>
      <c r="AO45" s="15">
        <f>ROUND(X45*Asumsi_Pajak!$B$16,0)</f>
        <v>45300</v>
      </c>
      <c r="AP45" s="15">
        <f t="shared" si="18"/>
        <v>17337180</v>
      </c>
      <c r="AQ45" s="15">
        <f t="shared" si="19"/>
        <v>13666530</v>
      </c>
    </row>
    <row r="46" spans="1:43" ht="14.4" x14ac:dyDescent="0.3">
      <c r="A46" s="18">
        <v>2026</v>
      </c>
      <c r="B46" s="18">
        <v>8</v>
      </c>
      <c r="C46" s="19">
        <v>46235</v>
      </c>
      <c r="D46" s="18" t="s">
        <v>34</v>
      </c>
      <c r="E46" s="12" t="str">
        <f>VLOOKUP($D46,Master_Karyawan!$A$4:$Y$9,4,FALSE())</f>
        <v>Andi Pratama</v>
      </c>
      <c r="F46" s="12" t="str">
        <f>VLOOKUP($D46,Master_Karyawan!$A$4:$Y$9,11,FALSE())</f>
        <v>Sales</v>
      </c>
      <c r="G46" s="12" t="str">
        <f>VLOOKUP($D46,Master_Karyawan!$A$4:$Y$9,12,FALSE())</f>
        <v>Sales Executive</v>
      </c>
      <c r="H46" s="20">
        <f>VLOOKUP($D46,Master_Karyawan!$A$4:$Y$9,10,FALSE())</f>
        <v>45301</v>
      </c>
      <c r="I46" s="12" t="str">
        <f>VLOOKUP($D46,Master_Karyawan!$A$4:$Y$9,8,FALSE())</f>
        <v>TK/0</v>
      </c>
      <c r="J46" s="12" t="str">
        <f>VLOOKUP($D46,Master_Karyawan!$A$4:$Y$9,9,FALSE())</f>
        <v>A</v>
      </c>
      <c r="K46" s="12">
        <f t="shared" si="10"/>
        <v>1</v>
      </c>
      <c r="L46" s="15">
        <f>IF($K46=1,VLOOKUP($D46,Master_Karyawan!$A$4:$Y$9,19,FALSE()),0)</f>
        <v>8000000</v>
      </c>
      <c r="M46" s="15">
        <f>IF($K46=1,VLOOKUP($D46,Master_Karyawan!$A$4:$Y$9,20,FALSE()),0)</f>
        <v>1000000</v>
      </c>
      <c r="N46" s="15">
        <f>IF($K46=1,VLOOKUP($D46,Master_Karyawan!$A$4:$Y$9,21,FALSE()),0)</f>
        <v>500000</v>
      </c>
      <c r="O46" s="21">
        <v>175000</v>
      </c>
      <c r="P46" s="21">
        <v>0</v>
      </c>
      <c r="Q46" s="21">
        <v>0</v>
      </c>
      <c r="R46" s="21">
        <v>0</v>
      </c>
      <c r="S46" s="21">
        <v>0</v>
      </c>
      <c r="T46" s="15">
        <f t="shared" si="11"/>
        <v>9675000</v>
      </c>
      <c r="U46" s="15">
        <f t="shared" si="12"/>
        <v>9675000</v>
      </c>
      <c r="V46" s="15">
        <f>IF(AND($K46=1,VLOOKUP($D46,Master_Karyawan!$A$4:$Y$9,22,FALSE())="Y"),MIN(L46+M46+N46,Asumsi_Pajak!$B$8),0)</f>
        <v>9500000</v>
      </c>
      <c r="W46" s="15">
        <f>ROUND(V46*Asumsi_Pajak!$B$9,0)</f>
        <v>95000</v>
      </c>
      <c r="X46" s="15">
        <f>IF(AND($K46=1,VLOOKUP($D46,Master_Karyawan!$A$4:$Y$9,23,FALSE())="Y"),L46+M46+N46,0)</f>
        <v>9500000</v>
      </c>
      <c r="Y46" s="15">
        <f>ROUND(X46*Asumsi_Pajak!$B$11,0)</f>
        <v>190000</v>
      </c>
      <c r="Z46" s="15">
        <f>IF(AND($K46=1,VLOOKUP($D46,Master_Karyawan!$A$4:$Y$9,23,FALSE())="Y"),MIN(L46+M46+N46,Asumsi_Pajak!$B$12),0)</f>
        <v>9500000</v>
      </c>
      <c r="AA46" s="15">
        <f>ROUND(Z46*Asumsi_Pajak!$B$13,0)</f>
        <v>95000</v>
      </c>
      <c r="AB46" s="15">
        <f>MIN(ROUND(T46*Asumsi_Pajak!$B$5,0),Asumsi_Pajak!$B$6)</f>
        <v>483750</v>
      </c>
      <c r="AC46" s="15">
        <f t="shared" si="13"/>
        <v>8906250</v>
      </c>
      <c r="AD46" s="15">
        <f>VLOOKUP(I46,Asumsi_Pajak!$E$5:$F$12,2,FALSE())</f>
        <v>54000000</v>
      </c>
      <c r="AE46" s="16">
        <f>IF(J46="A",VLOOKUP(T46,Asumsi_Pajak!$J$5:$K$48,2,TRUE()),IF(J46="B",VLOOKUP(T46,Asumsi_Pajak!$M$5:$N$44,2,TRUE()),VLOOKUP(T46,Asumsi_Pajak!$P$5:$Q$45,2,TRUE())))</f>
        <v>0.02</v>
      </c>
      <c r="AF46" s="15">
        <f t="shared" si="14"/>
        <v>127625000</v>
      </c>
      <c r="AG46" s="15">
        <f>AF46-MIN(ROUND(AF46*Asumsi_Pajak!$B$5,0),Asumsi_Pajak!$B$7)-SUMIFS($Y$4:$Y$75,$D$4:$D$75,$D46,$A$4:$A$75,$A46)-SUMIFS($AA$4:$AA$75,$D$4:$D$75,$D46,$A$4:$A$75,$A46)</f>
        <v>118205000</v>
      </c>
      <c r="AH46" s="15">
        <f t="shared" si="15"/>
        <v>64205000</v>
      </c>
      <c r="AI46" s="15">
        <f t="shared" si="16"/>
        <v>3630750</v>
      </c>
      <c r="AJ46" s="15">
        <f t="shared" si="17"/>
        <v>193500</v>
      </c>
      <c r="AK46" s="15">
        <f>ROUND(V46*Asumsi_Pajak!$B$10,0)</f>
        <v>380000</v>
      </c>
      <c r="AL46" s="15">
        <f>ROUND(X46*Asumsi_Pajak!$B$14,0)</f>
        <v>351500</v>
      </c>
      <c r="AM46" s="15">
        <f>ROUND(Z46*Asumsi_Pajak!$B$15,0)</f>
        <v>190000</v>
      </c>
      <c r="AN46" s="15">
        <f>ROUND(X46*VLOOKUP($D46,Master_Karyawan!$A$4:$Y$9,24,FALSE()),0)</f>
        <v>22800</v>
      </c>
      <c r="AO46" s="15">
        <f>ROUND(X46*Asumsi_Pajak!$B$16,0)</f>
        <v>28500</v>
      </c>
      <c r="AP46" s="15">
        <f t="shared" si="18"/>
        <v>10841300</v>
      </c>
      <c r="AQ46" s="15">
        <f t="shared" si="19"/>
        <v>9101500</v>
      </c>
    </row>
    <row r="47" spans="1:43" ht="14.4" x14ac:dyDescent="0.3">
      <c r="A47" s="18">
        <v>2026</v>
      </c>
      <c r="B47" s="18">
        <v>8</v>
      </c>
      <c r="C47" s="19">
        <v>46235</v>
      </c>
      <c r="D47" s="18" t="s">
        <v>52</v>
      </c>
      <c r="E47" s="12" t="str">
        <f>VLOOKUP($D47,Master_Karyawan!$A$4:$Y$9,4,FALSE())</f>
        <v>Siti Nurhaliza</v>
      </c>
      <c r="F47" s="12" t="str">
        <f>VLOOKUP($D47,Master_Karyawan!$A$4:$Y$9,11,FALSE())</f>
        <v>HR</v>
      </c>
      <c r="G47" s="12" t="str">
        <f>VLOOKUP($D47,Master_Karyawan!$A$4:$Y$9,12,FALSE())</f>
        <v>HR Officer</v>
      </c>
      <c r="H47" s="20">
        <f>VLOOKUP($D47,Master_Karyawan!$A$4:$Y$9,10,FALSE())</f>
        <v>45108</v>
      </c>
      <c r="I47" s="12" t="str">
        <f>VLOOKUP($D47,Master_Karyawan!$A$4:$Y$9,8,FALSE())</f>
        <v>K/1</v>
      </c>
      <c r="J47" s="12" t="str">
        <f>VLOOKUP($D47,Master_Karyawan!$A$4:$Y$9,9,FALSE())</f>
        <v>B</v>
      </c>
      <c r="K47" s="12">
        <f t="shared" si="10"/>
        <v>1</v>
      </c>
      <c r="L47" s="15">
        <f>IF($K47=1,VLOOKUP($D47,Master_Karyawan!$A$4:$Y$9,19,FALSE()),0)</f>
        <v>10500000</v>
      </c>
      <c r="M47" s="15">
        <f>IF($K47=1,VLOOKUP($D47,Master_Karyawan!$A$4:$Y$9,20,FALSE()),0)</f>
        <v>1500000</v>
      </c>
      <c r="N47" s="15">
        <f>IF($K47=1,VLOOKUP($D47,Master_Karyawan!$A$4:$Y$9,21,FALSE()),0)</f>
        <v>500000</v>
      </c>
      <c r="O47" s="21">
        <v>201249</v>
      </c>
      <c r="P47" s="21">
        <v>0</v>
      </c>
      <c r="Q47" s="21">
        <v>0</v>
      </c>
      <c r="R47" s="21">
        <v>0</v>
      </c>
      <c r="S47" s="21">
        <v>0</v>
      </c>
      <c r="T47" s="15">
        <f t="shared" si="11"/>
        <v>12701249</v>
      </c>
      <c r="U47" s="15">
        <f t="shared" si="12"/>
        <v>12701249</v>
      </c>
      <c r="V47" s="15">
        <f>IF(AND($K47=1,VLOOKUP($D47,Master_Karyawan!$A$4:$Y$9,22,FALSE())="Y"),MIN(L47+M47+N47,Asumsi_Pajak!$B$8),0)</f>
        <v>12000000</v>
      </c>
      <c r="W47" s="15">
        <f>ROUND(V47*Asumsi_Pajak!$B$9,0)</f>
        <v>120000</v>
      </c>
      <c r="X47" s="15">
        <f>IF(AND($K47=1,VLOOKUP($D47,Master_Karyawan!$A$4:$Y$9,23,FALSE())="Y"),L47+M47+N47,0)</f>
        <v>12500000</v>
      </c>
      <c r="Y47" s="15">
        <f>ROUND(X47*Asumsi_Pajak!$B$11,0)</f>
        <v>250000</v>
      </c>
      <c r="Z47" s="15">
        <f>IF(AND($K47=1,VLOOKUP($D47,Master_Karyawan!$A$4:$Y$9,23,FALSE())="Y"),MIN(L47+M47+N47,Asumsi_Pajak!$B$12),0)</f>
        <v>10547000</v>
      </c>
      <c r="AA47" s="15">
        <f>ROUND(Z47*Asumsi_Pajak!$B$13,0)</f>
        <v>105470</v>
      </c>
      <c r="AB47" s="15">
        <f>MIN(ROUND(T47*Asumsi_Pajak!$B$5,0),Asumsi_Pajak!$B$6)</f>
        <v>500000</v>
      </c>
      <c r="AC47" s="15">
        <f t="shared" si="13"/>
        <v>11845779</v>
      </c>
      <c r="AD47" s="15">
        <f>VLOOKUP(I47,Asumsi_Pajak!$E$5:$F$12,2,FALSE())</f>
        <v>63000000</v>
      </c>
      <c r="AE47" s="16">
        <f>IF(J47="A",VLOOKUP(T47,Asumsi_Pajak!$J$5:$K$48,2,TRUE()),IF(J47="B",VLOOKUP(T47,Asumsi_Pajak!$M$5:$N$44,2,TRUE()),VLOOKUP(T47,Asumsi_Pajak!$P$5:$Q$45,2,TRUE())))</f>
        <v>0.04</v>
      </c>
      <c r="AF47" s="15">
        <f t="shared" si="14"/>
        <v>168016246</v>
      </c>
      <c r="AG47" s="15">
        <f>AF47-MIN(ROUND(AF47*Asumsi_Pajak!$B$5,0),Asumsi_Pajak!$B$7)-SUMIFS($Y$4:$Y$75,$D$4:$D$75,$D47,$A$4:$A$75,$A47)-SUMIFS($AA$4:$AA$75,$D$4:$D$75,$D47,$A$4:$A$75,$A47)</f>
        <v>157750606</v>
      </c>
      <c r="AH47" s="15">
        <f t="shared" si="15"/>
        <v>94750000</v>
      </c>
      <c r="AI47" s="15">
        <f t="shared" si="16"/>
        <v>8212500</v>
      </c>
      <c r="AJ47" s="15">
        <f t="shared" si="17"/>
        <v>508050</v>
      </c>
      <c r="AK47" s="15">
        <f>ROUND(V47*Asumsi_Pajak!$B$10,0)</f>
        <v>480000</v>
      </c>
      <c r="AL47" s="15">
        <f>ROUND(X47*Asumsi_Pajak!$B$14,0)</f>
        <v>462500</v>
      </c>
      <c r="AM47" s="15">
        <f>ROUND(Z47*Asumsi_Pajak!$B$15,0)</f>
        <v>210940</v>
      </c>
      <c r="AN47" s="15">
        <f>ROUND(X47*VLOOKUP($D47,Master_Karyawan!$A$4:$Y$9,24,FALSE()),0)</f>
        <v>30000</v>
      </c>
      <c r="AO47" s="15">
        <f>ROUND(X47*Asumsi_Pajak!$B$16,0)</f>
        <v>37500</v>
      </c>
      <c r="AP47" s="15">
        <f t="shared" si="18"/>
        <v>14430239</v>
      </c>
      <c r="AQ47" s="15">
        <f t="shared" si="19"/>
        <v>11717729</v>
      </c>
    </row>
    <row r="48" spans="1:43" ht="14.4" x14ac:dyDescent="0.3">
      <c r="A48" s="18">
        <v>2026</v>
      </c>
      <c r="B48" s="18">
        <v>8</v>
      </c>
      <c r="C48" s="19">
        <v>46235</v>
      </c>
      <c r="D48" s="18" t="s">
        <v>67</v>
      </c>
      <c r="E48" s="12" t="str">
        <f>VLOOKUP($D48,Master_Karyawan!$A$4:$Y$9,4,FALSE())</f>
        <v>Budi Santoso</v>
      </c>
      <c r="F48" s="12" t="str">
        <f>VLOOKUP($D48,Master_Karyawan!$A$4:$Y$9,11,FALSE())</f>
        <v>IT</v>
      </c>
      <c r="G48" s="12" t="str">
        <f>VLOOKUP($D48,Master_Karyawan!$A$4:$Y$9,12,FALSE())</f>
        <v>IT Supervisor</v>
      </c>
      <c r="H48" s="20">
        <f>VLOOKUP($D48,Master_Karyawan!$A$4:$Y$9,10,FALSE())</f>
        <v>44697</v>
      </c>
      <c r="I48" s="12" t="str">
        <f>VLOOKUP($D48,Master_Karyawan!$A$4:$Y$9,8,FALSE())</f>
        <v>K/3</v>
      </c>
      <c r="J48" s="12" t="str">
        <f>VLOOKUP($D48,Master_Karyawan!$A$4:$Y$9,9,FALSE())</f>
        <v>C</v>
      </c>
      <c r="K48" s="12">
        <f t="shared" si="10"/>
        <v>1</v>
      </c>
      <c r="L48" s="15">
        <f>IF($K48=1,VLOOKUP($D48,Master_Karyawan!$A$4:$Y$9,19,FALSE()),0)</f>
        <v>18000000</v>
      </c>
      <c r="M48" s="15">
        <f>IF($K48=1,VLOOKUP($D48,Master_Karyawan!$A$4:$Y$9,20,FALSE()),0)</f>
        <v>3000000</v>
      </c>
      <c r="N48" s="15">
        <f>IF($K48=1,VLOOKUP($D48,Master_Karyawan!$A$4:$Y$9,21,FALSE()),0)</f>
        <v>750000</v>
      </c>
      <c r="O48" s="21">
        <v>227500</v>
      </c>
      <c r="P48" s="21">
        <v>0</v>
      </c>
      <c r="Q48" s="21">
        <v>0</v>
      </c>
      <c r="R48" s="21">
        <v>0</v>
      </c>
      <c r="S48" s="21">
        <v>0</v>
      </c>
      <c r="T48" s="15">
        <f t="shared" si="11"/>
        <v>21977500</v>
      </c>
      <c r="U48" s="15">
        <f t="shared" si="12"/>
        <v>21977500</v>
      </c>
      <c r="V48" s="15">
        <f>IF(AND($K48=1,VLOOKUP($D48,Master_Karyawan!$A$4:$Y$9,22,FALSE())="Y"),MIN(L48+M48+N48,Asumsi_Pajak!$B$8),0)</f>
        <v>12000000</v>
      </c>
      <c r="W48" s="15">
        <f>ROUND(V48*Asumsi_Pajak!$B$9,0)</f>
        <v>120000</v>
      </c>
      <c r="X48" s="15">
        <f>IF(AND($K48=1,VLOOKUP($D48,Master_Karyawan!$A$4:$Y$9,23,FALSE())="Y"),L48+M48+N48,0)</f>
        <v>21750000</v>
      </c>
      <c r="Y48" s="15">
        <f>ROUND(X48*Asumsi_Pajak!$B$11,0)</f>
        <v>435000</v>
      </c>
      <c r="Z48" s="15">
        <f>IF(AND($K48=1,VLOOKUP($D48,Master_Karyawan!$A$4:$Y$9,23,FALSE())="Y"),MIN(L48+M48+N48,Asumsi_Pajak!$B$12),0)</f>
        <v>10547000</v>
      </c>
      <c r="AA48" s="15">
        <f>ROUND(Z48*Asumsi_Pajak!$B$13,0)</f>
        <v>105470</v>
      </c>
      <c r="AB48" s="15">
        <f>MIN(ROUND(T48*Asumsi_Pajak!$B$5,0),Asumsi_Pajak!$B$6)</f>
        <v>500000</v>
      </c>
      <c r="AC48" s="15">
        <f t="shared" si="13"/>
        <v>20937030</v>
      </c>
      <c r="AD48" s="15">
        <f>VLOOKUP(I48,Asumsi_Pajak!$E$5:$F$12,2,FALSE())</f>
        <v>72000000</v>
      </c>
      <c r="AE48" s="16">
        <f>IF(J48="A",VLOOKUP(T48,Asumsi_Pajak!$J$5:$K$48,2,TRUE()),IF(J48="B",VLOOKUP(T48,Asumsi_Pajak!$M$5:$N$44,2,TRUE()),VLOOKUP(T48,Asumsi_Pajak!$P$5:$Q$45,2,TRUE())))</f>
        <v>0.08</v>
      </c>
      <c r="AF48" s="15">
        <f t="shared" si="14"/>
        <v>291697500</v>
      </c>
      <c r="AG48" s="15">
        <f>AF48-MIN(ROUND(AF48*Asumsi_Pajak!$B$5,0),Asumsi_Pajak!$B$7)-SUMIFS($Y$4:$Y$75,$D$4:$D$75,$D48,$A$4:$A$75,$A48)-SUMIFS($AA$4:$AA$75,$D$4:$D$75,$D48,$A$4:$A$75,$A48)</f>
        <v>279211860</v>
      </c>
      <c r="AH48" s="15">
        <f t="shared" si="15"/>
        <v>207211000</v>
      </c>
      <c r="AI48" s="15">
        <f t="shared" si="16"/>
        <v>25081650</v>
      </c>
      <c r="AJ48" s="15">
        <f t="shared" si="17"/>
        <v>1758200</v>
      </c>
      <c r="AK48" s="15">
        <f>ROUND(V48*Asumsi_Pajak!$B$10,0)</f>
        <v>480000</v>
      </c>
      <c r="AL48" s="15">
        <f>ROUND(X48*Asumsi_Pajak!$B$14,0)</f>
        <v>804750</v>
      </c>
      <c r="AM48" s="15">
        <f>ROUND(Z48*Asumsi_Pajak!$B$15,0)</f>
        <v>210940</v>
      </c>
      <c r="AN48" s="15">
        <f>ROUND(X48*VLOOKUP($D48,Master_Karyawan!$A$4:$Y$9,24,FALSE()),0)</f>
        <v>117450</v>
      </c>
      <c r="AO48" s="15">
        <f>ROUND(X48*Asumsi_Pajak!$B$16,0)</f>
        <v>65250</v>
      </c>
      <c r="AP48" s="15">
        <f t="shared" si="18"/>
        <v>25414090</v>
      </c>
      <c r="AQ48" s="15">
        <f t="shared" si="19"/>
        <v>19558830</v>
      </c>
    </row>
    <row r="49" spans="1:43" ht="14.4" x14ac:dyDescent="0.3">
      <c r="A49" s="18">
        <v>2026</v>
      </c>
      <c r="B49" s="18">
        <v>8</v>
      </c>
      <c r="C49" s="19">
        <v>46235</v>
      </c>
      <c r="D49" s="18" t="s">
        <v>80</v>
      </c>
      <c r="E49" s="12" t="str">
        <f>VLOOKUP($D49,Master_Karyawan!$A$4:$Y$9,4,FALSE())</f>
        <v>Dewi Lestari</v>
      </c>
      <c r="F49" s="12" t="str">
        <f>VLOOKUP($D49,Master_Karyawan!$A$4:$Y$9,11,FALSE())</f>
        <v>Finance</v>
      </c>
      <c r="G49" s="12" t="str">
        <f>VLOOKUP($D49,Master_Karyawan!$A$4:$Y$9,12,FALSE())</f>
        <v>Finance Analyst</v>
      </c>
      <c r="H49" s="20">
        <f>VLOOKUP($D49,Master_Karyawan!$A$4:$Y$9,10,FALSE())</f>
        <v>45689</v>
      </c>
      <c r="I49" s="12" t="str">
        <f>VLOOKUP($D49,Master_Karyawan!$A$4:$Y$9,8,FALSE())</f>
        <v>TK/2</v>
      </c>
      <c r="J49" s="12" t="str">
        <f>VLOOKUP($D49,Master_Karyawan!$A$4:$Y$9,9,FALSE())</f>
        <v>B</v>
      </c>
      <c r="K49" s="12">
        <f t="shared" si="10"/>
        <v>1</v>
      </c>
      <c r="L49" s="15">
        <f>IF($K49=1,VLOOKUP($D49,Master_Karyawan!$A$4:$Y$9,19,FALSE()),0)</f>
        <v>14000000</v>
      </c>
      <c r="M49" s="15">
        <f>IF($K49=1,VLOOKUP($D49,Master_Karyawan!$A$4:$Y$9,20,FALSE()),0)</f>
        <v>2000000</v>
      </c>
      <c r="N49" s="15">
        <f>IF($K49=1,VLOOKUP($D49,Master_Karyawan!$A$4:$Y$9,21,FALSE()),0)</f>
        <v>650000</v>
      </c>
      <c r="O49" s="21">
        <v>253750</v>
      </c>
      <c r="P49" s="21">
        <v>0</v>
      </c>
      <c r="Q49" s="21">
        <v>0</v>
      </c>
      <c r="R49" s="21">
        <v>0</v>
      </c>
      <c r="S49" s="21">
        <v>0</v>
      </c>
      <c r="T49" s="15">
        <f t="shared" si="11"/>
        <v>16903750</v>
      </c>
      <c r="U49" s="15">
        <f t="shared" si="12"/>
        <v>16903750</v>
      </c>
      <c r="V49" s="15">
        <f>IF(AND($K49=1,VLOOKUP($D49,Master_Karyawan!$A$4:$Y$9,22,FALSE())="Y"),MIN(L49+M49+N49,Asumsi_Pajak!$B$8),0)</f>
        <v>12000000</v>
      </c>
      <c r="W49" s="15">
        <f>ROUND(V49*Asumsi_Pajak!$B$9,0)</f>
        <v>120000</v>
      </c>
      <c r="X49" s="15">
        <f>IF(AND($K49=1,VLOOKUP($D49,Master_Karyawan!$A$4:$Y$9,23,FALSE())="Y"),L49+M49+N49,0)</f>
        <v>16650000</v>
      </c>
      <c r="Y49" s="15">
        <f>ROUND(X49*Asumsi_Pajak!$B$11,0)</f>
        <v>333000</v>
      </c>
      <c r="Z49" s="15">
        <f>IF(AND($K49=1,VLOOKUP($D49,Master_Karyawan!$A$4:$Y$9,23,FALSE())="Y"),MIN(L49+M49+N49,Asumsi_Pajak!$B$12),0)</f>
        <v>10547000</v>
      </c>
      <c r="AA49" s="15">
        <f>ROUND(Z49*Asumsi_Pajak!$B$13,0)</f>
        <v>105470</v>
      </c>
      <c r="AB49" s="15">
        <f>MIN(ROUND(T49*Asumsi_Pajak!$B$5,0),Asumsi_Pajak!$B$6)</f>
        <v>500000</v>
      </c>
      <c r="AC49" s="15">
        <f t="shared" si="13"/>
        <v>15965280</v>
      </c>
      <c r="AD49" s="15">
        <f>VLOOKUP(I49,Asumsi_Pajak!$E$5:$F$12,2,FALSE())</f>
        <v>63000000</v>
      </c>
      <c r="AE49" s="16">
        <f>IF(J49="A",VLOOKUP(T49,Asumsi_Pajak!$J$5:$K$48,2,TRUE()),IF(J49="B",VLOOKUP(T49,Asumsi_Pajak!$M$5:$N$44,2,TRUE()),VLOOKUP(T49,Asumsi_Pajak!$P$5:$Q$45,2,TRUE())))</f>
        <v>7.0000000000000007E-2</v>
      </c>
      <c r="AF49" s="15">
        <f t="shared" si="14"/>
        <v>224608750</v>
      </c>
      <c r="AG49" s="15">
        <f>AF49-MIN(ROUND(AF49*Asumsi_Pajak!$B$5,0),Asumsi_Pajak!$B$7)-SUMIFS($Y$4:$Y$75,$D$4:$D$75,$D49,$A$4:$A$75,$A49)-SUMIFS($AA$4:$AA$75,$D$4:$D$75,$D49,$A$4:$A$75,$A49)</f>
        <v>213347110</v>
      </c>
      <c r="AH49" s="15">
        <f t="shared" si="15"/>
        <v>150347000</v>
      </c>
      <c r="AI49" s="15">
        <f t="shared" si="16"/>
        <v>16552050</v>
      </c>
      <c r="AJ49" s="15">
        <f t="shared" si="17"/>
        <v>1183263</v>
      </c>
      <c r="AK49" s="15">
        <f>ROUND(V49*Asumsi_Pajak!$B$10,0)</f>
        <v>480000</v>
      </c>
      <c r="AL49" s="15">
        <f>ROUND(X49*Asumsi_Pajak!$B$14,0)</f>
        <v>616050</v>
      </c>
      <c r="AM49" s="15">
        <f>ROUND(Z49*Asumsi_Pajak!$B$15,0)</f>
        <v>210940</v>
      </c>
      <c r="AN49" s="15">
        <f>ROUND(X49*VLOOKUP($D49,Master_Karyawan!$A$4:$Y$9,24,FALSE()),0)</f>
        <v>39960</v>
      </c>
      <c r="AO49" s="15">
        <f>ROUND(X49*Asumsi_Pajak!$B$16,0)</f>
        <v>49950</v>
      </c>
      <c r="AP49" s="15">
        <f t="shared" si="18"/>
        <v>19483913</v>
      </c>
      <c r="AQ49" s="15">
        <f t="shared" si="19"/>
        <v>15162017</v>
      </c>
    </row>
    <row r="50" spans="1:43" ht="14.4" x14ac:dyDescent="0.3">
      <c r="A50" s="18">
        <v>2026</v>
      </c>
      <c r="B50" s="18">
        <v>8</v>
      </c>
      <c r="C50" s="19">
        <v>46235</v>
      </c>
      <c r="D50" s="18" t="s">
        <v>92</v>
      </c>
      <c r="E50" s="12" t="str">
        <f>VLOOKUP($D50,Master_Karyawan!$A$4:$Y$9,4,FALSE())</f>
        <v>Rudi Hartono</v>
      </c>
      <c r="F50" s="12" t="str">
        <f>VLOOKUP($D50,Master_Karyawan!$A$4:$Y$9,11,FALSE())</f>
        <v>Operations</v>
      </c>
      <c r="G50" s="12" t="str">
        <f>VLOOKUP($D50,Master_Karyawan!$A$4:$Y$9,12,FALSE())</f>
        <v>Warehouse Lead</v>
      </c>
      <c r="H50" s="20">
        <f>VLOOKUP($D50,Master_Karyawan!$A$4:$Y$9,10,FALSE())</f>
        <v>44508</v>
      </c>
      <c r="I50" s="12" t="str">
        <f>VLOOKUP($D50,Master_Karyawan!$A$4:$Y$9,8,FALSE())</f>
        <v>K/0</v>
      </c>
      <c r="J50" s="12" t="str">
        <f>VLOOKUP($D50,Master_Karyawan!$A$4:$Y$9,9,FALSE())</f>
        <v>A</v>
      </c>
      <c r="K50" s="12">
        <f t="shared" si="10"/>
        <v>1</v>
      </c>
      <c r="L50" s="15">
        <f>IF($K50=1,VLOOKUP($D50,Master_Karyawan!$A$4:$Y$9,19,FALSE()),0)</f>
        <v>7500000</v>
      </c>
      <c r="M50" s="15">
        <f>IF($K50=1,VLOOKUP($D50,Master_Karyawan!$A$4:$Y$9,20,FALSE()),0)</f>
        <v>1000000</v>
      </c>
      <c r="N50" s="15">
        <f>IF($K50=1,VLOOKUP($D50,Master_Karyawan!$A$4:$Y$9,21,FALSE()),0)</f>
        <v>400000</v>
      </c>
      <c r="O50" s="21">
        <v>280000</v>
      </c>
      <c r="P50" s="21">
        <v>0</v>
      </c>
      <c r="Q50" s="21">
        <v>0</v>
      </c>
      <c r="R50" s="21">
        <v>0</v>
      </c>
      <c r="S50" s="21">
        <v>0</v>
      </c>
      <c r="T50" s="15">
        <f t="shared" si="11"/>
        <v>9180000</v>
      </c>
      <c r="U50" s="15">
        <f t="shared" si="12"/>
        <v>9180000</v>
      </c>
      <c r="V50" s="15">
        <f>IF(AND($K50=1,VLOOKUP($D50,Master_Karyawan!$A$4:$Y$9,22,FALSE())="Y"),MIN(L50+M50+N50,Asumsi_Pajak!$B$8),0)</f>
        <v>8900000</v>
      </c>
      <c r="W50" s="15">
        <f>ROUND(V50*Asumsi_Pajak!$B$9,0)</f>
        <v>89000</v>
      </c>
      <c r="X50" s="15">
        <f>IF(AND($K50=1,VLOOKUP($D50,Master_Karyawan!$A$4:$Y$9,23,FALSE())="Y"),L50+M50+N50,0)</f>
        <v>8900000</v>
      </c>
      <c r="Y50" s="15">
        <f>ROUND(X50*Asumsi_Pajak!$B$11,0)</f>
        <v>178000</v>
      </c>
      <c r="Z50" s="15">
        <f>IF(AND($K50=1,VLOOKUP($D50,Master_Karyawan!$A$4:$Y$9,23,FALSE())="Y"),MIN(L50+M50+N50,Asumsi_Pajak!$B$12),0)</f>
        <v>8900000</v>
      </c>
      <c r="AA50" s="15">
        <f>ROUND(Z50*Asumsi_Pajak!$B$13,0)</f>
        <v>89000</v>
      </c>
      <c r="AB50" s="15">
        <f>MIN(ROUND(T50*Asumsi_Pajak!$B$5,0),Asumsi_Pajak!$B$6)</f>
        <v>459000</v>
      </c>
      <c r="AC50" s="15">
        <f t="shared" si="13"/>
        <v>8454000</v>
      </c>
      <c r="AD50" s="15">
        <f>VLOOKUP(I50,Asumsi_Pajak!$E$5:$F$12,2,FALSE())</f>
        <v>58500000</v>
      </c>
      <c r="AE50" s="16">
        <f>IF(J50="A",VLOOKUP(T50,Asumsi_Pajak!$J$5:$K$48,2,TRUE()),IF(J50="B",VLOOKUP(T50,Asumsi_Pajak!$M$5:$N$44,2,TRUE()),VLOOKUP(T50,Asumsi_Pajak!$P$5:$Q$45,2,TRUE())))</f>
        <v>1.7500000000000002E-2</v>
      </c>
      <c r="AF50" s="15">
        <f t="shared" si="14"/>
        <v>121845000</v>
      </c>
      <c r="AG50" s="15">
        <f>AF50-MIN(ROUND(AF50*Asumsi_Pajak!$B$5,0),Asumsi_Pajak!$B$7)-SUMIFS($Y$4:$Y$75,$D$4:$D$75,$D50,$A$4:$A$75,$A50)-SUMIFS($AA$4:$AA$75,$D$4:$D$75,$D50,$A$4:$A$75,$A50)</f>
        <v>112641000</v>
      </c>
      <c r="AH50" s="15">
        <f t="shared" si="15"/>
        <v>54141000</v>
      </c>
      <c r="AI50" s="15">
        <f t="shared" si="16"/>
        <v>2707050</v>
      </c>
      <c r="AJ50" s="15">
        <f t="shared" si="17"/>
        <v>160650</v>
      </c>
      <c r="AK50" s="15">
        <f>ROUND(V50*Asumsi_Pajak!$B$10,0)</f>
        <v>356000</v>
      </c>
      <c r="AL50" s="15">
        <f>ROUND(X50*Asumsi_Pajak!$B$14,0)</f>
        <v>329300</v>
      </c>
      <c r="AM50" s="15">
        <f>ROUND(Z50*Asumsi_Pajak!$B$15,0)</f>
        <v>178000</v>
      </c>
      <c r="AN50" s="15">
        <f>ROUND(X50*VLOOKUP($D50,Master_Karyawan!$A$4:$Y$9,24,FALSE()),0)</f>
        <v>48060</v>
      </c>
      <c r="AO50" s="15">
        <f>ROUND(X50*Asumsi_Pajak!$B$16,0)</f>
        <v>26700</v>
      </c>
      <c r="AP50" s="15">
        <f t="shared" si="18"/>
        <v>10278710</v>
      </c>
      <c r="AQ50" s="15">
        <f t="shared" si="19"/>
        <v>8663350</v>
      </c>
    </row>
    <row r="51" spans="1:43" ht="14.4" x14ac:dyDescent="0.3">
      <c r="A51" s="18">
        <v>2026</v>
      </c>
      <c r="B51" s="18">
        <v>8</v>
      </c>
      <c r="C51" s="19">
        <v>46235</v>
      </c>
      <c r="D51" s="18" t="s">
        <v>104</v>
      </c>
      <c r="E51" s="12" t="str">
        <f>VLOOKUP($D51,Master_Karyawan!$A$4:$Y$9,4,FALSE())</f>
        <v>Maya Putri</v>
      </c>
      <c r="F51" s="12" t="str">
        <f>VLOOKUP($D51,Master_Karyawan!$A$4:$Y$9,11,FALSE())</f>
        <v>Marketing</v>
      </c>
      <c r="G51" s="12" t="str">
        <f>VLOOKUP($D51,Master_Karyawan!$A$4:$Y$9,12,FALSE())</f>
        <v>Marketing Specialist</v>
      </c>
      <c r="H51" s="20">
        <f>VLOOKUP($D51,Master_Karyawan!$A$4:$Y$9,10,FALSE())</f>
        <v>45537</v>
      </c>
      <c r="I51" s="12" t="str">
        <f>VLOOKUP($D51,Master_Karyawan!$A$4:$Y$9,8,FALSE())</f>
        <v>TK/1</v>
      </c>
      <c r="J51" s="12" t="str">
        <f>VLOOKUP($D51,Master_Karyawan!$A$4:$Y$9,9,FALSE())</f>
        <v>A</v>
      </c>
      <c r="K51" s="12">
        <f t="shared" si="10"/>
        <v>1</v>
      </c>
      <c r="L51" s="15">
        <f>IF($K51=1,VLOOKUP($D51,Master_Karyawan!$A$4:$Y$9,19,FALSE()),0)</f>
        <v>12500000</v>
      </c>
      <c r="M51" s="15">
        <f>IF($K51=1,VLOOKUP($D51,Master_Karyawan!$A$4:$Y$9,20,FALSE()),0)</f>
        <v>2000000</v>
      </c>
      <c r="N51" s="15">
        <f>IF($K51=1,VLOOKUP($D51,Master_Karyawan!$A$4:$Y$9,21,FALSE()),0)</f>
        <v>600000</v>
      </c>
      <c r="O51" s="21">
        <v>306250</v>
      </c>
      <c r="P51" s="21">
        <v>0</v>
      </c>
      <c r="Q51" s="21">
        <v>0</v>
      </c>
      <c r="R51" s="21">
        <v>0</v>
      </c>
      <c r="S51" s="21">
        <v>0</v>
      </c>
      <c r="T51" s="15">
        <f t="shared" si="11"/>
        <v>15406250</v>
      </c>
      <c r="U51" s="15">
        <f t="shared" si="12"/>
        <v>15406250</v>
      </c>
      <c r="V51" s="15">
        <f>IF(AND($K51=1,VLOOKUP($D51,Master_Karyawan!$A$4:$Y$9,22,FALSE())="Y"),MIN(L51+M51+N51,Asumsi_Pajak!$B$8),0)</f>
        <v>12000000</v>
      </c>
      <c r="W51" s="15">
        <f>ROUND(V51*Asumsi_Pajak!$B$9,0)</f>
        <v>120000</v>
      </c>
      <c r="X51" s="15">
        <f>IF(AND($K51=1,VLOOKUP($D51,Master_Karyawan!$A$4:$Y$9,23,FALSE())="Y"),L51+M51+N51,0)</f>
        <v>15100000</v>
      </c>
      <c r="Y51" s="15">
        <f>ROUND(X51*Asumsi_Pajak!$B$11,0)</f>
        <v>302000</v>
      </c>
      <c r="Z51" s="15">
        <f>IF(AND($K51=1,VLOOKUP($D51,Master_Karyawan!$A$4:$Y$9,23,FALSE())="Y"),MIN(L51+M51+N51,Asumsi_Pajak!$B$12),0)</f>
        <v>10547000</v>
      </c>
      <c r="AA51" s="15">
        <f>ROUND(Z51*Asumsi_Pajak!$B$13,0)</f>
        <v>105470</v>
      </c>
      <c r="AB51" s="15">
        <f>MIN(ROUND(T51*Asumsi_Pajak!$B$5,0),Asumsi_Pajak!$B$6)</f>
        <v>500000</v>
      </c>
      <c r="AC51" s="15">
        <f t="shared" si="13"/>
        <v>14498780</v>
      </c>
      <c r="AD51" s="15">
        <f>VLOOKUP(I51,Asumsi_Pajak!$E$5:$F$12,2,FALSE())</f>
        <v>58500000</v>
      </c>
      <c r="AE51" s="16">
        <f>IF(J51="A",VLOOKUP(T51,Asumsi_Pajak!$J$5:$K$48,2,TRUE()),IF(J51="B",VLOOKUP(T51,Asumsi_Pajak!$M$5:$N$44,2,TRUE()),VLOOKUP(T51,Asumsi_Pajak!$P$5:$Q$45,2,TRUE())))</f>
        <v>7.0000000000000007E-2</v>
      </c>
      <c r="AF51" s="15">
        <f t="shared" si="14"/>
        <v>205381250</v>
      </c>
      <c r="AG51" s="15">
        <f>AF51-MIN(ROUND(AF51*Asumsi_Pajak!$B$5,0),Asumsi_Pajak!$B$7)-SUMIFS($Y$4:$Y$75,$D$4:$D$75,$D51,$A$4:$A$75,$A51)-SUMIFS($AA$4:$AA$75,$D$4:$D$75,$D51,$A$4:$A$75,$A51)</f>
        <v>194491610</v>
      </c>
      <c r="AH51" s="15">
        <f t="shared" si="15"/>
        <v>135991000</v>
      </c>
      <c r="AI51" s="15">
        <f t="shared" si="16"/>
        <v>14398650</v>
      </c>
      <c r="AJ51" s="15">
        <f t="shared" si="17"/>
        <v>1078438</v>
      </c>
      <c r="AK51" s="15">
        <f>ROUND(V51*Asumsi_Pajak!$B$10,0)</f>
        <v>480000</v>
      </c>
      <c r="AL51" s="15">
        <f>ROUND(X51*Asumsi_Pajak!$B$14,0)</f>
        <v>558700</v>
      </c>
      <c r="AM51" s="15">
        <f>ROUND(Z51*Asumsi_Pajak!$B$15,0)</f>
        <v>210940</v>
      </c>
      <c r="AN51" s="15">
        <f>ROUND(X51*VLOOKUP($D51,Master_Karyawan!$A$4:$Y$9,24,FALSE()),0)</f>
        <v>36240</v>
      </c>
      <c r="AO51" s="15">
        <f>ROUND(X51*Asumsi_Pajak!$B$16,0)</f>
        <v>45300</v>
      </c>
      <c r="AP51" s="15">
        <f t="shared" si="18"/>
        <v>17815868</v>
      </c>
      <c r="AQ51" s="15">
        <f t="shared" si="19"/>
        <v>13800342</v>
      </c>
    </row>
    <row r="52" spans="1:43" ht="14.4" x14ac:dyDescent="0.3">
      <c r="A52" s="18">
        <v>2026</v>
      </c>
      <c r="B52" s="18">
        <v>9</v>
      </c>
      <c r="C52" s="19">
        <v>46266</v>
      </c>
      <c r="D52" s="18" t="s">
        <v>34</v>
      </c>
      <c r="E52" s="12" t="str">
        <f>VLOOKUP($D52,Master_Karyawan!$A$4:$Y$9,4,FALSE())</f>
        <v>Andi Pratama</v>
      </c>
      <c r="F52" s="12" t="str">
        <f>VLOOKUP($D52,Master_Karyawan!$A$4:$Y$9,11,FALSE())</f>
        <v>Sales</v>
      </c>
      <c r="G52" s="12" t="str">
        <f>VLOOKUP($D52,Master_Karyawan!$A$4:$Y$9,12,FALSE())</f>
        <v>Sales Executive</v>
      </c>
      <c r="H52" s="20">
        <f>VLOOKUP($D52,Master_Karyawan!$A$4:$Y$9,10,FALSE())</f>
        <v>45301</v>
      </c>
      <c r="I52" s="12" t="str">
        <f>VLOOKUP($D52,Master_Karyawan!$A$4:$Y$9,8,FALSE())</f>
        <v>TK/0</v>
      </c>
      <c r="J52" s="12" t="str">
        <f>VLOOKUP($D52,Master_Karyawan!$A$4:$Y$9,9,FALSE())</f>
        <v>A</v>
      </c>
      <c r="K52" s="12">
        <f t="shared" si="10"/>
        <v>1</v>
      </c>
      <c r="L52" s="15">
        <f>IF($K52=1,VLOOKUP($D52,Master_Karyawan!$A$4:$Y$9,19,FALSE()),0)</f>
        <v>8000000</v>
      </c>
      <c r="M52" s="15">
        <f>IF($K52=1,VLOOKUP($D52,Master_Karyawan!$A$4:$Y$9,20,FALSE()),0)</f>
        <v>1000000</v>
      </c>
      <c r="N52" s="15">
        <f>IF($K52=1,VLOOKUP($D52,Master_Karyawan!$A$4:$Y$9,21,FALSE()),0)</f>
        <v>500000</v>
      </c>
      <c r="O52" s="21">
        <v>225000</v>
      </c>
      <c r="P52" s="21">
        <v>0</v>
      </c>
      <c r="Q52" s="21">
        <v>0</v>
      </c>
      <c r="R52" s="21">
        <v>50000</v>
      </c>
      <c r="S52" s="21">
        <v>0</v>
      </c>
      <c r="T52" s="15">
        <f t="shared" si="11"/>
        <v>9725000</v>
      </c>
      <c r="U52" s="15">
        <f t="shared" si="12"/>
        <v>9775000</v>
      </c>
      <c r="V52" s="15">
        <f>IF(AND($K52=1,VLOOKUP($D52,Master_Karyawan!$A$4:$Y$9,22,FALSE())="Y"),MIN(L52+M52+N52,Asumsi_Pajak!$B$8),0)</f>
        <v>9500000</v>
      </c>
      <c r="W52" s="15">
        <f>ROUND(V52*Asumsi_Pajak!$B$9,0)</f>
        <v>95000</v>
      </c>
      <c r="X52" s="15">
        <f>IF(AND($K52=1,VLOOKUP($D52,Master_Karyawan!$A$4:$Y$9,23,FALSE())="Y"),L52+M52+N52,0)</f>
        <v>9500000</v>
      </c>
      <c r="Y52" s="15">
        <f>ROUND(X52*Asumsi_Pajak!$B$11,0)</f>
        <v>190000</v>
      </c>
      <c r="Z52" s="15">
        <f>IF(AND($K52=1,VLOOKUP($D52,Master_Karyawan!$A$4:$Y$9,23,FALSE())="Y"),MIN(L52+M52+N52,Asumsi_Pajak!$B$12),0)</f>
        <v>9500000</v>
      </c>
      <c r="AA52" s="15">
        <f>ROUND(Z52*Asumsi_Pajak!$B$13,0)</f>
        <v>95000</v>
      </c>
      <c r="AB52" s="15">
        <f>MIN(ROUND(T52*Asumsi_Pajak!$B$5,0),Asumsi_Pajak!$B$6)</f>
        <v>486250</v>
      </c>
      <c r="AC52" s="15">
        <f t="shared" si="13"/>
        <v>8953750</v>
      </c>
      <c r="AD52" s="15">
        <f>VLOOKUP(I52,Asumsi_Pajak!$E$5:$F$12,2,FALSE())</f>
        <v>54000000</v>
      </c>
      <c r="AE52" s="16">
        <f>IF(J52="A",VLOOKUP(T52,Asumsi_Pajak!$J$5:$K$48,2,TRUE()),IF(J52="B",VLOOKUP(T52,Asumsi_Pajak!$M$5:$N$44,2,TRUE()),VLOOKUP(T52,Asumsi_Pajak!$P$5:$Q$45,2,TRUE())))</f>
        <v>0.02</v>
      </c>
      <c r="AF52" s="15">
        <f t="shared" si="14"/>
        <v>127625000</v>
      </c>
      <c r="AG52" s="15">
        <f>AF52-MIN(ROUND(AF52*Asumsi_Pajak!$B$5,0),Asumsi_Pajak!$B$7)-SUMIFS($Y$4:$Y$75,$D$4:$D$75,$D52,$A$4:$A$75,$A52)-SUMIFS($AA$4:$AA$75,$D$4:$D$75,$D52,$A$4:$A$75,$A52)</f>
        <v>118205000</v>
      </c>
      <c r="AH52" s="15">
        <f t="shared" si="15"/>
        <v>64205000</v>
      </c>
      <c r="AI52" s="15">
        <f t="shared" si="16"/>
        <v>3630750</v>
      </c>
      <c r="AJ52" s="15">
        <f t="shared" si="17"/>
        <v>194500</v>
      </c>
      <c r="AK52" s="15">
        <f>ROUND(V52*Asumsi_Pajak!$B$10,0)</f>
        <v>380000</v>
      </c>
      <c r="AL52" s="15">
        <f>ROUND(X52*Asumsi_Pajak!$B$14,0)</f>
        <v>351500</v>
      </c>
      <c r="AM52" s="15">
        <f>ROUND(Z52*Asumsi_Pajak!$B$15,0)</f>
        <v>190000</v>
      </c>
      <c r="AN52" s="15">
        <f>ROUND(X52*VLOOKUP($D52,Master_Karyawan!$A$4:$Y$9,24,FALSE()),0)</f>
        <v>22800</v>
      </c>
      <c r="AO52" s="15">
        <f>ROUND(X52*Asumsi_Pajak!$B$16,0)</f>
        <v>28500</v>
      </c>
      <c r="AP52" s="15">
        <f t="shared" si="18"/>
        <v>10942300</v>
      </c>
      <c r="AQ52" s="15">
        <f t="shared" si="19"/>
        <v>9200500</v>
      </c>
    </row>
    <row r="53" spans="1:43" ht="14.4" x14ac:dyDescent="0.3">
      <c r="A53" s="18">
        <v>2026</v>
      </c>
      <c r="B53" s="18">
        <v>9</v>
      </c>
      <c r="C53" s="19">
        <v>46266</v>
      </c>
      <c r="D53" s="18" t="s">
        <v>52</v>
      </c>
      <c r="E53" s="12" t="str">
        <f>VLOOKUP($D53,Master_Karyawan!$A$4:$Y$9,4,FALSE())</f>
        <v>Siti Nurhaliza</v>
      </c>
      <c r="F53" s="12" t="str">
        <f>VLOOKUP($D53,Master_Karyawan!$A$4:$Y$9,11,FALSE())</f>
        <v>HR</v>
      </c>
      <c r="G53" s="12" t="str">
        <f>VLOOKUP($D53,Master_Karyawan!$A$4:$Y$9,12,FALSE())</f>
        <v>HR Officer</v>
      </c>
      <c r="H53" s="20">
        <f>VLOOKUP($D53,Master_Karyawan!$A$4:$Y$9,10,FALSE())</f>
        <v>45108</v>
      </c>
      <c r="I53" s="12" t="str">
        <f>VLOOKUP($D53,Master_Karyawan!$A$4:$Y$9,8,FALSE())</f>
        <v>K/1</v>
      </c>
      <c r="J53" s="12" t="str">
        <f>VLOOKUP($D53,Master_Karyawan!$A$4:$Y$9,9,FALSE())</f>
        <v>B</v>
      </c>
      <c r="K53" s="12">
        <f t="shared" si="10"/>
        <v>1</v>
      </c>
      <c r="L53" s="15">
        <f>IF($K53=1,VLOOKUP($D53,Master_Karyawan!$A$4:$Y$9,19,FALSE()),0)</f>
        <v>10500000</v>
      </c>
      <c r="M53" s="15">
        <f>IF($K53=1,VLOOKUP($D53,Master_Karyawan!$A$4:$Y$9,20,FALSE()),0)</f>
        <v>1500000</v>
      </c>
      <c r="N53" s="15">
        <f>IF($K53=1,VLOOKUP($D53,Master_Karyawan!$A$4:$Y$9,21,FALSE()),0)</f>
        <v>500000</v>
      </c>
      <c r="O53" s="21">
        <v>258749</v>
      </c>
      <c r="P53" s="21">
        <v>0</v>
      </c>
      <c r="Q53" s="21">
        <v>0</v>
      </c>
      <c r="R53" s="21">
        <v>100000</v>
      </c>
      <c r="S53" s="21">
        <v>0</v>
      </c>
      <c r="T53" s="15">
        <f t="shared" si="11"/>
        <v>12758749</v>
      </c>
      <c r="U53" s="15">
        <f t="shared" si="12"/>
        <v>12858749</v>
      </c>
      <c r="V53" s="15">
        <f>IF(AND($K53=1,VLOOKUP($D53,Master_Karyawan!$A$4:$Y$9,22,FALSE())="Y"),MIN(L53+M53+N53,Asumsi_Pajak!$B$8),0)</f>
        <v>12000000</v>
      </c>
      <c r="W53" s="15">
        <f>ROUND(V53*Asumsi_Pajak!$B$9,0)</f>
        <v>120000</v>
      </c>
      <c r="X53" s="15">
        <f>IF(AND($K53=1,VLOOKUP($D53,Master_Karyawan!$A$4:$Y$9,23,FALSE())="Y"),L53+M53+N53,0)</f>
        <v>12500000</v>
      </c>
      <c r="Y53" s="15">
        <f>ROUND(X53*Asumsi_Pajak!$B$11,0)</f>
        <v>250000</v>
      </c>
      <c r="Z53" s="15">
        <f>IF(AND($K53=1,VLOOKUP($D53,Master_Karyawan!$A$4:$Y$9,23,FALSE())="Y"),MIN(L53+M53+N53,Asumsi_Pajak!$B$12),0)</f>
        <v>10547000</v>
      </c>
      <c r="AA53" s="15">
        <f>ROUND(Z53*Asumsi_Pajak!$B$13,0)</f>
        <v>105470</v>
      </c>
      <c r="AB53" s="15">
        <f>MIN(ROUND(T53*Asumsi_Pajak!$B$5,0),Asumsi_Pajak!$B$6)</f>
        <v>500000</v>
      </c>
      <c r="AC53" s="15">
        <f t="shared" si="13"/>
        <v>11903279</v>
      </c>
      <c r="AD53" s="15">
        <f>VLOOKUP(I53,Asumsi_Pajak!$E$5:$F$12,2,FALSE())</f>
        <v>63000000</v>
      </c>
      <c r="AE53" s="16">
        <f>IF(J53="A",VLOOKUP(T53,Asumsi_Pajak!$J$5:$K$48,2,TRUE()),IF(J53="B",VLOOKUP(T53,Asumsi_Pajak!$M$5:$N$44,2,TRUE()),VLOOKUP(T53,Asumsi_Pajak!$P$5:$Q$45,2,TRUE())))</f>
        <v>0.04</v>
      </c>
      <c r="AF53" s="15">
        <f t="shared" si="14"/>
        <v>168016246</v>
      </c>
      <c r="AG53" s="15">
        <f>AF53-MIN(ROUND(AF53*Asumsi_Pajak!$B$5,0),Asumsi_Pajak!$B$7)-SUMIFS($Y$4:$Y$75,$D$4:$D$75,$D53,$A$4:$A$75,$A53)-SUMIFS($AA$4:$AA$75,$D$4:$D$75,$D53,$A$4:$A$75,$A53)</f>
        <v>157750606</v>
      </c>
      <c r="AH53" s="15">
        <f t="shared" si="15"/>
        <v>94750000</v>
      </c>
      <c r="AI53" s="15">
        <f t="shared" si="16"/>
        <v>8212500</v>
      </c>
      <c r="AJ53" s="15">
        <f t="shared" si="17"/>
        <v>510350</v>
      </c>
      <c r="AK53" s="15">
        <f>ROUND(V53*Asumsi_Pajak!$B$10,0)</f>
        <v>480000</v>
      </c>
      <c r="AL53" s="15">
        <f>ROUND(X53*Asumsi_Pajak!$B$14,0)</f>
        <v>462500</v>
      </c>
      <c r="AM53" s="15">
        <f>ROUND(Z53*Asumsi_Pajak!$B$15,0)</f>
        <v>210940</v>
      </c>
      <c r="AN53" s="15">
        <f>ROUND(X53*VLOOKUP($D53,Master_Karyawan!$A$4:$Y$9,24,FALSE()),0)</f>
        <v>30000</v>
      </c>
      <c r="AO53" s="15">
        <f>ROUND(X53*Asumsi_Pajak!$B$16,0)</f>
        <v>37500</v>
      </c>
      <c r="AP53" s="15">
        <f t="shared" si="18"/>
        <v>14590039</v>
      </c>
      <c r="AQ53" s="15">
        <f t="shared" si="19"/>
        <v>11872929</v>
      </c>
    </row>
    <row r="54" spans="1:43" ht="14.4" x14ac:dyDescent="0.3">
      <c r="A54" s="18">
        <v>2026</v>
      </c>
      <c r="B54" s="18">
        <v>9</v>
      </c>
      <c r="C54" s="19">
        <v>46266</v>
      </c>
      <c r="D54" s="18" t="s">
        <v>67</v>
      </c>
      <c r="E54" s="12" t="str">
        <f>VLOOKUP($D54,Master_Karyawan!$A$4:$Y$9,4,FALSE())</f>
        <v>Budi Santoso</v>
      </c>
      <c r="F54" s="12" t="str">
        <f>VLOOKUP($D54,Master_Karyawan!$A$4:$Y$9,11,FALSE())</f>
        <v>IT</v>
      </c>
      <c r="G54" s="12" t="str">
        <f>VLOOKUP($D54,Master_Karyawan!$A$4:$Y$9,12,FALSE())</f>
        <v>IT Supervisor</v>
      </c>
      <c r="H54" s="20">
        <f>VLOOKUP($D54,Master_Karyawan!$A$4:$Y$9,10,FALSE())</f>
        <v>44697</v>
      </c>
      <c r="I54" s="12" t="str">
        <f>VLOOKUP($D54,Master_Karyawan!$A$4:$Y$9,8,FALSE())</f>
        <v>K/3</v>
      </c>
      <c r="J54" s="12" t="str">
        <f>VLOOKUP($D54,Master_Karyawan!$A$4:$Y$9,9,FALSE())</f>
        <v>C</v>
      </c>
      <c r="K54" s="12">
        <f t="shared" si="10"/>
        <v>1</v>
      </c>
      <c r="L54" s="15">
        <f>IF($K54=1,VLOOKUP($D54,Master_Karyawan!$A$4:$Y$9,19,FALSE()),0)</f>
        <v>18000000</v>
      </c>
      <c r="M54" s="15">
        <f>IF($K54=1,VLOOKUP($D54,Master_Karyawan!$A$4:$Y$9,20,FALSE()),0)</f>
        <v>3000000</v>
      </c>
      <c r="N54" s="15">
        <f>IF($K54=1,VLOOKUP($D54,Master_Karyawan!$A$4:$Y$9,21,FALSE()),0)</f>
        <v>750000</v>
      </c>
      <c r="O54" s="21">
        <v>292500</v>
      </c>
      <c r="P54" s="21">
        <v>0</v>
      </c>
      <c r="Q54" s="21">
        <v>0</v>
      </c>
      <c r="R54" s="21">
        <v>150000</v>
      </c>
      <c r="S54" s="21">
        <v>0</v>
      </c>
      <c r="T54" s="15">
        <f t="shared" si="11"/>
        <v>22042500</v>
      </c>
      <c r="U54" s="15">
        <f t="shared" si="12"/>
        <v>22192500</v>
      </c>
      <c r="V54" s="15">
        <f>IF(AND($K54=1,VLOOKUP($D54,Master_Karyawan!$A$4:$Y$9,22,FALSE())="Y"),MIN(L54+M54+N54,Asumsi_Pajak!$B$8),0)</f>
        <v>12000000</v>
      </c>
      <c r="W54" s="15">
        <f>ROUND(V54*Asumsi_Pajak!$B$9,0)</f>
        <v>120000</v>
      </c>
      <c r="X54" s="15">
        <f>IF(AND($K54=1,VLOOKUP($D54,Master_Karyawan!$A$4:$Y$9,23,FALSE())="Y"),L54+M54+N54,0)</f>
        <v>21750000</v>
      </c>
      <c r="Y54" s="15">
        <f>ROUND(X54*Asumsi_Pajak!$B$11,0)</f>
        <v>435000</v>
      </c>
      <c r="Z54" s="15">
        <f>IF(AND($K54=1,VLOOKUP($D54,Master_Karyawan!$A$4:$Y$9,23,FALSE())="Y"),MIN(L54+M54+N54,Asumsi_Pajak!$B$12),0)</f>
        <v>10547000</v>
      </c>
      <c r="AA54" s="15">
        <f>ROUND(Z54*Asumsi_Pajak!$B$13,0)</f>
        <v>105470</v>
      </c>
      <c r="AB54" s="15">
        <f>MIN(ROUND(T54*Asumsi_Pajak!$B$5,0),Asumsi_Pajak!$B$6)</f>
        <v>500000</v>
      </c>
      <c r="AC54" s="15">
        <f t="shared" si="13"/>
        <v>21002030</v>
      </c>
      <c r="AD54" s="15">
        <f>VLOOKUP(I54,Asumsi_Pajak!$E$5:$F$12,2,FALSE())</f>
        <v>72000000</v>
      </c>
      <c r="AE54" s="16">
        <f>IF(J54="A",VLOOKUP(T54,Asumsi_Pajak!$J$5:$K$48,2,TRUE()),IF(J54="B",VLOOKUP(T54,Asumsi_Pajak!$M$5:$N$44,2,TRUE()),VLOOKUP(T54,Asumsi_Pajak!$P$5:$Q$45,2,TRUE())))</f>
        <v>0.08</v>
      </c>
      <c r="AF54" s="15">
        <f t="shared" si="14"/>
        <v>291697500</v>
      </c>
      <c r="AG54" s="15">
        <f>AF54-MIN(ROUND(AF54*Asumsi_Pajak!$B$5,0),Asumsi_Pajak!$B$7)-SUMIFS($Y$4:$Y$75,$D$4:$D$75,$D54,$A$4:$A$75,$A54)-SUMIFS($AA$4:$AA$75,$D$4:$D$75,$D54,$A$4:$A$75,$A54)</f>
        <v>279211860</v>
      </c>
      <c r="AH54" s="15">
        <f t="shared" si="15"/>
        <v>207211000</v>
      </c>
      <c r="AI54" s="15">
        <f t="shared" si="16"/>
        <v>25081650</v>
      </c>
      <c r="AJ54" s="15">
        <f t="shared" si="17"/>
        <v>1763400</v>
      </c>
      <c r="AK54" s="15">
        <f>ROUND(V54*Asumsi_Pajak!$B$10,0)</f>
        <v>480000</v>
      </c>
      <c r="AL54" s="15">
        <f>ROUND(X54*Asumsi_Pajak!$B$14,0)</f>
        <v>804750</v>
      </c>
      <c r="AM54" s="15">
        <f>ROUND(Z54*Asumsi_Pajak!$B$15,0)</f>
        <v>210940</v>
      </c>
      <c r="AN54" s="15">
        <f>ROUND(X54*VLOOKUP($D54,Master_Karyawan!$A$4:$Y$9,24,FALSE()),0)</f>
        <v>117450</v>
      </c>
      <c r="AO54" s="15">
        <f>ROUND(X54*Asumsi_Pajak!$B$16,0)</f>
        <v>65250</v>
      </c>
      <c r="AP54" s="15">
        <f t="shared" si="18"/>
        <v>25634290</v>
      </c>
      <c r="AQ54" s="15">
        <f t="shared" si="19"/>
        <v>19768630</v>
      </c>
    </row>
    <row r="55" spans="1:43" ht="14.4" x14ac:dyDescent="0.3">
      <c r="A55" s="18">
        <v>2026</v>
      </c>
      <c r="B55" s="18">
        <v>9</v>
      </c>
      <c r="C55" s="19">
        <v>46266</v>
      </c>
      <c r="D55" s="18" t="s">
        <v>80</v>
      </c>
      <c r="E55" s="12" t="str">
        <f>VLOOKUP($D55,Master_Karyawan!$A$4:$Y$9,4,FALSE())</f>
        <v>Dewi Lestari</v>
      </c>
      <c r="F55" s="12" t="str">
        <f>VLOOKUP($D55,Master_Karyawan!$A$4:$Y$9,11,FALSE())</f>
        <v>Finance</v>
      </c>
      <c r="G55" s="12" t="str">
        <f>VLOOKUP($D55,Master_Karyawan!$A$4:$Y$9,12,FALSE())</f>
        <v>Finance Analyst</v>
      </c>
      <c r="H55" s="20">
        <f>VLOOKUP($D55,Master_Karyawan!$A$4:$Y$9,10,FALSE())</f>
        <v>45689</v>
      </c>
      <c r="I55" s="12" t="str">
        <f>VLOOKUP($D55,Master_Karyawan!$A$4:$Y$9,8,FALSE())</f>
        <v>TK/2</v>
      </c>
      <c r="J55" s="12" t="str">
        <f>VLOOKUP($D55,Master_Karyawan!$A$4:$Y$9,9,FALSE())</f>
        <v>B</v>
      </c>
      <c r="K55" s="12">
        <f t="shared" si="10"/>
        <v>1</v>
      </c>
      <c r="L55" s="15">
        <f>IF($K55=1,VLOOKUP($D55,Master_Karyawan!$A$4:$Y$9,19,FALSE()),0)</f>
        <v>14000000</v>
      </c>
      <c r="M55" s="15">
        <f>IF($K55=1,VLOOKUP($D55,Master_Karyawan!$A$4:$Y$9,20,FALSE()),0)</f>
        <v>2000000</v>
      </c>
      <c r="N55" s="15">
        <f>IF($K55=1,VLOOKUP($D55,Master_Karyawan!$A$4:$Y$9,21,FALSE()),0)</f>
        <v>650000</v>
      </c>
      <c r="O55" s="21">
        <v>326250</v>
      </c>
      <c r="P55" s="21">
        <v>0</v>
      </c>
      <c r="Q55" s="21">
        <v>0</v>
      </c>
      <c r="R55" s="21">
        <v>200000</v>
      </c>
      <c r="S55" s="21">
        <v>0</v>
      </c>
      <c r="T55" s="15">
        <f t="shared" si="11"/>
        <v>16976250</v>
      </c>
      <c r="U55" s="15">
        <f t="shared" si="12"/>
        <v>17176250</v>
      </c>
      <c r="V55" s="15">
        <f>IF(AND($K55=1,VLOOKUP($D55,Master_Karyawan!$A$4:$Y$9,22,FALSE())="Y"),MIN(L55+M55+N55,Asumsi_Pajak!$B$8),0)</f>
        <v>12000000</v>
      </c>
      <c r="W55" s="15">
        <f>ROUND(V55*Asumsi_Pajak!$B$9,0)</f>
        <v>120000</v>
      </c>
      <c r="X55" s="15">
        <f>IF(AND($K55=1,VLOOKUP($D55,Master_Karyawan!$A$4:$Y$9,23,FALSE())="Y"),L55+M55+N55,0)</f>
        <v>16650000</v>
      </c>
      <c r="Y55" s="15">
        <f>ROUND(X55*Asumsi_Pajak!$B$11,0)</f>
        <v>333000</v>
      </c>
      <c r="Z55" s="15">
        <f>IF(AND($K55=1,VLOOKUP($D55,Master_Karyawan!$A$4:$Y$9,23,FALSE())="Y"),MIN(L55+M55+N55,Asumsi_Pajak!$B$12),0)</f>
        <v>10547000</v>
      </c>
      <c r="AA55" s="15">
        <f>ROUND(Z55*Asumsi_Pajak!$B$13,0)</f>
        <v>105470</v>
      </c>
      <c r="AB55" s="15">
        <f>MIN(ROUND(T55*Asumsi_Pajak!$B$5,0),Asumsi_Pajak!$B$6)</f>
        <v>500000</v>
      </c>
      <c r="AC55" s="15">
        <f t="shared" si="13"/>
        <v>16037780</v>
      </c>
      <c r="AD55" s="15">
        <f>VLOOKUP(I55,Asumsi_Pajak!$E$5:$F$12,2,FALSE())</f>
        <v>63000000</v>
      </c>
      <c r="AE55" s="16">
        <f>IF(J55="A",VLOOKUP(T55,Asumsi_Pajak!$J$5:$K$48,2,TRUE()),IF(J55="B",VLOOKUP(T55,Asumsi_Pajak!$M$5:$N$44,2,TRUE()),VLOOKUP(T55,Asumsi_Pajak!$P$5:$Q$45,2,TRUE())))</f>
        <v>7.0000000000000007E-2</v>
      </c>
      <c r="AF55" s="15">
        <f t="shared" si="14"/>
        <v>224608750</v>
      </c>
      <c r="AG55" s="15">
        <f>AF55-MIN(ROUND(AF55*Asumsi_Pajak!$B$5,0),Asumsi_Pajak!$B$7)-SUMIFS($Y$4:$Y$75,$D$4:$D$75,$D55,$A$4:$A$75,$A55)-SUMIFS($AA$4:$AA$75,$D$4:$D$75,$D55,$A$4:$A$75,$A55)</f>
        <v>213347110</v>
      </c>
      <c r="AH55" s="15">
        <f t="shared" si="15"/>
        <v>150347000</v>
      </c>
      <c r="AI55" s="15">
        <f t="shared" si="16"/>
        <v>16552050</v>
      </c>
      <c r="AJ55" s="15">
        <f t="shared" si="17"/>
        <v>1188338</v>
      </c>
      <c r="AK55" s="15">
        <f>ROUND(V55*Asumsi_Pajak!$B$10,0)</f>
        <v>480000</v>
      </c>
      <c r="AL55" s="15">
        <f>ROUND(X55*Asumsi_Pajak!$B$14,0)</f>
        <v>616050</v>
      </c>
      <c r="AM55" s="15">
        <f>ROUND(Z55*Asumsi_Pajak!$B$15,0)</f>
        <v>210940</v>
      </c>
      <c r="AN55" s="15">
        <f>ROUND(X55*VLOOKUP($D55,Master_Karyawan!$A$4:$Y$9,24,FALSE()),0)</f>
        <v>39960</v>
      </c>
      <c r="AO55" s="15">
        <f>ROUND(X55*Asumsi_Pajak!$B$16,0)</f>
        <v>49950</v>
      </c>
      <c r="AP55" s="15">
        <f t="shared" si="18"/>
        <v>19761488</v>
      </c>
      <c r="AQ55" s="15">
        <f t="shared" si="19"/>
        <v>15429442</v>
      </c>
    </row>
    <row r="56" spans="1:43" ht="14.4" x14ac:dyDescent="0.3">
      <c r="A56" s="18">
        <v>2026</v>
      </c>
      <c r="B56" s="18">
        <v>9</v>
      </c>
      <c r="C56" s="19">
        <v>46266</v>
      </c>
      <c r="D56" s="18" t="s">
        <v>92</v>
      </c>
      <c r="E56" s="12" t="str">
        <f>VLOOKUP($D56,Master_Karyawan!$A$4:$Y$9,4,FALSE())</f>
        <v>Rudi Hartono</v>
      </c>
      <c r="F56" s="12" t="str">
        <f>VLOOKUP($D56,Master_Karyawan!$A$4:$Y$9,11,FALSE())</f>
        <v>Operations</v>
      </c>
      <c r="G56" s="12" t="str">
        <f>VLOOKUP($D56,Master_Karyawan!$A$4:$Y$9,12,FALSE())</f>
        <v>Warehouse Lead</v>
      </c>
      <c r="H56" s="20">
        <f>VLOOKUP($D56,Master_Karyawan!$A$4:$Y$9,10,FALSE())</f>
        <v>44508</v>
      </c>
      <c r="I56" s="12" t="str">
        <f>VLOOKUP($D56,Master_Karyawan!$A$4:$Y$9,8,FALSE())</f>
        <v>K/0</v>
      </c>
      <c r="J56" s="12" t="str">
        <f>VLOOKUP($D56,Master_Karyawan!$A$4:$Y$9,9,FALSE())</f>
        <v>A</v>
      </c>
      <c r="K56" s="12">
        <f t="shared" si="10"/>
        <v>1</v>
      </c>
      <c r="L56" s="15">
        <f>IF($K56=1,VLOOKUP($D56,Master_Karyawan!$A$4:$Y$9,19,FALSE()),0)</f>
        <v>7500000</v>
      </c>
      <c r="M56" s="15">
        <f>IF($K56=1,VLOOKUP($D56,Master_Karyawan!$A$4:$Y$9,20,FALSE()),0)</f>
        <v>1000000</v>
      </c>
      <c r="N56" s="15">
        <f>IF($K56=1,VLOOKUP($D56,Master_Karyawan!$A$4:$Y$9,21,FALSE()),0)</f>
        <v>400000</v>
      </c>
      <c r="O56" s="21">
        <v>360000</v>
      </c>
      <c r="P56" s="21">
        <v>0</v>
      </c>
      <c r="Q56" s="21">
        <v>0</v>
      </c>
      <c r="R56" s="21">
        <v>250000</v>
      </c>
      <c r="S56" s="21">
        <v>0</v>
      </c>
      <c r="T56" s="15">
        <f t="shared" si="11"/>
        <v>9260000</v>
      </c>
      <c r="U56" s="15">
        <f t="shared" si="12"/>
        <v>9510000</v>
      </c>
      <c r="V56" s="15">
        <f>IF(AND($K56=1,VLOOKUP($D56,Master_Karyawan!$A$4:$Y$9,22,FALSE())="Y"),MIN(L56+M56+N56,Asumsi_Pajak!$B$8),0)</f>
        <v>8900000</v>
      </c>
      <c r="W56" s="15">
        <f>ROUND(V56*Asumsi_Pajak!$B$9,0)</f>
        <v>89000</v>
      </c>
      <c r="X56" s="15">
        <f>IF(AND($K56=1,VLOOKUP($D56,Master_Karyawan!$A$4:$Y$9,23,FALSE())="Y"),L56+M56+N56,0)</f>
        <v>8900000</v>
      </c>
      <c r="Y56" s="15">
        <f>ROUND(X56*Asumsi_Pajak!$B$11,0)</f>
        <v>178000</v>
      </c>
      <c r="Z56" s="15">
        <f>IF(AND($K56=1,VLOOKUP($D56,Master_Karyawan!$A$4:$Y$9,23,FALSE())="Y"),MIN(L56+M56+N56,Asumsi_Pajak!$B$12),0)</f>
        <v>8900000</v>
      </c>
      <c r="AA56" s="15">
        <f>ROUND(Z56*Asumsi_Pajak!$B$13,0)</f>
        <v>89000</v>
      </c>
      <c r="AB56" s="15">
        <f>MIN(ROUND(T56*Asumsi_Pajak!$B$5,0),Asumsi_Pajak!$B$6)</f>
        <v>463000</v>
      </c>
      <c r="AC56" s="15">
        <f t="shared" si="13"/>
        <v>8530000</v>
      </c>
      <c r="AD56" s="15">
        <f>VLOOKUP(I56,Asumsi_Pajak!$E$5:$F$12,2,FALSE())</f>
        <v>58500000</v>
      </c>
      <c r="AE56" s="16">
        <f>IF(J56="A",VLOOKUP(T56,Asumsi_Pajak!$J$5:$K$48,2,TRUE()),IF(J56="B",VLOOKUP(T56,Asumsi_Pajak!$M$5:$N$44,2,TRUE()),VLOOKUP(T56,Asumsi_Pajak!$P$5:$Q$45,2,TRUE())))</f>
        <v>1.7500000000000002E-2</v>
      </c>
      <c r="AF56" s="15">
        <f t="shared" si="14"/>
        <v>121845000</v>
      </c>
      <c r="AG56" s="15">
        <f>AF56-MIN(ROUND(AF56*Asumsi_Pajak!$B$5,0),Asumsi_Pajak!$B$7)-SUMIFS($Y$4:$Y$75,$D$4:$D$75,$D56,$A$4:$A$75,$A56)-SUMIFS($AA$4:$AA$75,$D$4:$D$75,$D56,$A$4:$A$75,$A56)</f>
        <v>112641000</v>
      </c>
      <c r="AH56" s="15">
        <f t="shared" si="15"/>
        <v>54141000</v>
      </c>
      <c r="AI56" s="15">
        <f t="shared" si="16"/>
        <v>2707050</v>
      </c>
      <c r="AJ56" s="15">
        <f t="shared" si="17"/>
        <v>162050</v>
      </c>
      <c r="AK56" s="15">
        <f>ROUND(V56*Asumsi_Pajak!$B$10,0)</f>
        <v>356000</v>
      </c>
      <c r="AL56" s="15">
        <f>ROUND(X56*Asumsi_Pajak!$B$14,0)</f>
        <v>329300</v>
      </c>
      <c r="AM56" s="15">
        <f>ROUND(Z56*Asumsi_Pajak!$B$15,0)</f>
        <v>178000</v>
      </c>
      <c r="AN56" s="15">
        <f>ROUND(X56*VLOOKUP($D56,Master_Karyawan!$A$4:$Y$9,24,FALSE()),0)</f>
        <v>48060</v>
      </c>
      <c r="AO56" s="15">
        <f>ROUND(X56*Asumsi_Pajak!$B$16,0)</f>
        <v>26700</v>
      </c>
      <c r="AP56" s="15">
        <f t="shared" si="18"/>
        <v>10610110</v>
      </c>
      <c r="AQ56" s="15">
        <f t="shared" si="19"/>
        <v>8991950</v>
      </c>
    </row>
    <row r="57" spans="1:43" ht="14.4" x14ac:dyDescent="0.3">
      <c r="A57" s="18">
        <v>2026</v>
      </c>
      <c r="B57" s="18">
        <v>9</v>
      </c>
      <c r="C57" s="19">
        <v>46266</v>
      </c>
      <c r="D57" s="18" t="s">
        <v>104</v>
      </c>
      <c r="E57" s="12" t="str">
        <f>VLOOKUP($D57,Master_Karyawan!$A$4:$Y$9,4,FALSE())</f>
        <v>Maya Putri</v>
      </c>
      <c r="F57" s="12" t="str">
        <f>VLOOKUP($D57,Master_Karyawan!$A$4:$Y$9,11,FALSE())</f>
        <v>Marketing</v>
      </c>
      <c r="G57" s="12" t="str">
        <f>VLOOKUP($D57,Master_Karyawan!$A$4:$Y$9,12,FALSE())</f>
        <v>Marketing Specialist</v>
      </c>
      <c r="H57" s="20">
        <f>VLOOKUP($D57,Master_Karyawan!$A$4:$Y$9,10,FALSE())</f>
        <v>45537</v>
      </c>
      <c r="I57" s="12" t="str">
        <f>VLOOKUP($D57,Master_Karyawan!$A$4:$Y$9,8,FALSE())</f>
        <v>TK/1</v>
      </c>
      <c r="J57" s="12" t="str">
        <f>VLOOKUP($D57,Master_Karyawan!$A$4:$Y$9,9,FALSE())</f>
        <v>A</v>
      </c>
      <c r="K57" s="12">
        <f t="shared" si="10"/>
        <v>1</v>
      </c>
      <c r="L57" s="15">
        <f>IF($K57=1,VLOOKUP($D57,Master_Karyawan!$A$4:$Y$9,19,FALSE()),0)</f>
        <v>12500000</v>
      </c>
      <c r="M57" s="15">
        <f>IF($K57=1,VLOOKUP($D57,Master_Karyawan!$A$4:$Y$9,20,FALSE()),0)</f>
        <v>2000000</v>
      </c>
      <c r="N57" s="15">
        <f>IF($K57=1,VLOOKUP($D57,Master_Karyawan!$A$4:$Y$9,21,FALSE()),0)</f>
        <v>600000</v>
      </c>
      <c r="O57" s="21">
        <v>393750</v>
      </c>
      <c r="P57" s="21">
        <v>0</v>
      </c>
      <c r="Q57" s="21">
        <v>0</v>
      </c>
      <c r="R57" s="21">
        <v>300000</v>
      </c>
      <c r="S57" s="21">
        <v>0</v>
      </c>
      <c r="T57" s="15">
        <f t="shared" si="11"/>
        <v>15493750</v>
      </c>
      <c r="U57" s="15">
        <f t="shared" si="12"/>
        <v>15793750</v>
      </c>
      <c r="V57" s="15">
        <f>IF(AND($K57=1,VLOOKUP($D57,Master_Karyawan!$A$4:$Y$9,22,FALSE())="Y"),MIN(L57+M57+N57,Asumsi_Pajak!$B$8),0)</f>
        <v>12000000</v>
      </c>
      <c r="W57" s="15">
        <f>ROUND(V57*Asumsi_Pajak!$B$9,0)</f>
        <v>120000</v>
      </c>
      <c r="X57" s="15">
        <f>IF(AND($K57=1,VLOOKUP($D57,Master_Karyawan!$A$4:$Y$9,23,FALSE())="Y"),L57+M57+N57,0)</f>
        <v>15100000</v>
      </c>
      <c r="Y57" s="15">
        <f>ROUND(X57*Asumsi_Pajak!$B$11,0)</f>
        <v>302000</v>
      </c>
      <c r="Z57" s="15">
        <f>IF(AND($K57=1,VLOOKUP($D57,Master_Karyawan!$A$4:$Y$9,23,FALSE())="Y"),MIN(L57+M57+N57,Asumsi_Pajak!$B$12),0)</f>
        <v>10547000</v>
      </c>
      <c r="AA57" s="15">
        <f>ROUND(Z57*Asumsi_Pajak!$B$13,0)</f>
        <v>105470</v>
      </c>
      <c r="AB57" s="15">
        <f>MIN(ROUND(T57*Asumsi_Pajak!$B$5,0),Asumsi_Pajak!$B$6)</f>
        <v>500000</v>
      </c>
      <c r="AC57" s="15">
        <f t="shared" si="13"/>
        <v>14586280</v>
      </c>
      <c r="AD57" s="15">
        <f>VLOOKUP(I57,Asumsi_Pajak!$E$5:$F$12,2,FALSE())</f>
        <v>58500000</v>
      </c>
      <c r="AE57" s="16">
        <f>IF(J57="A",VLOOKUP(T57,Asumsi_Pajak!$J$5:$K$48,2,TRUE()),IF(J57="B",VLOOKUP(T57,Asumsi_Pajak!$M$5:$N$44,2,TRUE()),VLOOKUP(T57,Asumsi_Pajak!$P$5:$Q$45,2,TRUE())))</f>
        <v>7.0000000000000007E-2</v>
      </c>
      <c r="AF57" s="15">
        <f t="shared" si="14"/>
        <v>205381250</v>
      </c>
      <c r="AG57" s="15">
        <f>AF57-MIN(ROUND(AF57*Asumsi_Pajak!$B$5,0),Asumsi_Pajak!$B$7)-SUMIFS($Y$4:$Y$75,$D$4:$D$75,$D57,$A$4:$A$75,$A57)-SUMIFS($AA$4:$AA$75,$D$4:$D$75,$D57,$A$4:$A$75,$A57)</f>
        <v>194491610</v>
      </c>
      <c r="AH57" s="15">
        <f t="shared" si="15"/>
        <v>135991000</v>
      </c>
      <c r="AI57" s="15">
        <f t="shared" si="16"/>
        <v>14398650</v>
      </c>
      <c r="AJ57" s="15">
        <f t="shared" si="17"/>
        <v>1084563</v>
      </c>
      <c r="AK57" s="15">
        <f>ROUND(V57*Asumsi_Pajak!$B$10,0)</f>
        <v>480000</v>
      </c>
      <c r="AL57" s="15">
        <f>ROUND(X57*Asumsi_Pajak!$B$14,0)</f>
        <v>558700</v>
      </c>
      <c r="AM57" s="15">
        <f>ROUND(Z57*Asumsi_Pajak!$B$15,0)</f>
        <v>210940</v>
      </c>
      <c r="AN57" s="15">
        <f>ROUND(X57*VLOOKUP($D57,Master_Karyawan!$A$4:$Y$9,24,FALSE()),0)</f>
        <v>36240</v>
      </c>
      <c r="AO57" s="15">
        <f>ROUND(X57*Asumsi_Pajak!$B$16,0)</f>
        <v>45300</v>
      </c>
      <c r="AP57" s="15">
        <f t="shared" si="18"/>
        <v>18209493</v>
      </c>
      <c r="AQ57" s="15">
        <f t="shared" si="19"/>
        <v>14181717</v>
      </c>
    </row>
    <row r="58" spans="1:43" ht="14.4" x14ac:dyDescent="0.3">
      <c r="A58" s="18">
        <v>2026</v>
      </c>
      <c r="B58" s="18">
        <v>10</v>
      </c>
      <c r="C58" s="19">
        <v>46296</v>
      </c>
      <c r="D58" s="18" t="s">
        <v>34</v>
      </c>
      <c r="E58" s="12" t="str">
        <f>VLOOKUP($D58,Master_Karyawan!$A$4:$Y$9,4,FALSE())</f>
        <v>Andi Pratama</v>
      </c>
      <c r="F58" s="12" t="str">
        <f>VLOOKUP($D58,Master_Karyawan!$A$4:$Y$9,11,FALSE())</f>
        <v>Sales</v>
      </c>
      <c r="G58" s="12" t="str">
        <f>VLOOKUP($D58,Master_Karyawan!$A$4:$Y$9,12,FALSE())</f>
        <v>Sales Executive</v>
      </c>
      <c r="H58" s="20">
        <f>VLOOKUP($D58,Master_Karyawan!$A$4:$Y$9,10,FALSE())</f>
        <v>45301</v>
      </c>
      <c r="I58" s="12" t="str">
        <f>VLOOKUP($D58,Master_Karyawan!$A$4:$Y$9,8,FALSE())</f>
        <v>TK/0</v>
      </c>
      <c r="J58" s="12" t="str">
        <f>VLOOKUP($D58,Master_Karyawan!$A$4:$Y$9,9,FALSE())</f>
        <v>A</v>
      </c>
      <c r="K58" s="12">
        <f t="shared" si="10"/>
        <v>1</v>
      </c>
      <c r="L58" s="15">
        <f>IF($K58=1,VLOOKUP($D58,Master_Karyawan!$A$4:$Y$9,19,FALSE()),0)</f>
        <v>8000000</v>
      </c>
      <c r="M58" s="15">
        <f>IF($K58=1,VLOOKUP($D58,Master_Karyawan!$A$4:$Y$9,20,FALSE()),0)</f>
        <v>1000000</v>
      </c>
      <c r="N58" s="15">
        <f>IF($K58=1,VLOOKUP($D58,Master_Karyawan!$A$4:$Y$9,21,FALSE()),0)</f>
        <v>500000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15">
        <f t="shared" si="11"/>
        <v>9500000</v>
      </c>
      <c r="U58" s="15">
        <f t="shared" si="12"/>
        <v>9500000</v>
      </c>
      <c r="V58" s="15">
        <f>IF(AND($K58=1,VLOOKUP($D58,Master_Karyawan!$A$4:$Y$9,22,FALSE())="Y"),MIN(L58+M58+N58,Asumsi_Pajak!$B$8),0)</f>
        <v>9500000</v>
      </c>
      <c r="W58" s="15">
        <f>ROUND(V58*Asumsi_Pajak!$B$9,0)</f>
        <v>95000</v>
      </c>
      <c r="X58" s="15">
        <f>IF(AND($K58=1,VLOOKUP($D58,Master_Karyawan!$A$4:$Y$9,23,FALSE())="Y"),L58+M58+N58,0)</f>
        <v>9500000</v>
      </c>
      <c r="Y58" s="15">
        <f>ROUND(X58*Asumsi_Pajak!$B$11,0)</f>
        <v>190000</v>
      </c>
      <c r="Z58" s="15">
        <f>IF(AND($K58=1,VLOOKUP($D58,Master_Karyawan!$A$4:$Y$9,23,FALSE())="Y"),MIN(L58+M58+N58,Asumsi_Pajak!$B$12),0)</f>
        <v>9500000</v>
      </c>
      <c r="AA58" s="15">
        <f>ROUND(Z58*Asumsi_Pajak!$B$13,0)</f>
        <v>95000</v>
      </c>
      <c r="AB58" s="15">
        <f>MIN(ROUND(T58*Asumsi_Pajak!$B$5,0),Asumsi_Pajak!$B$6)</f>
        <v>475000</v>
      </c>
      <c r="AC58" s="15">
        <f t="shared" si="13"/>
        <v>8740000</v>
      </c>
      <c r="AD58" s="15">
        <f>VLOOKUP(I58,Asumsi_Pajak!$E$5:$F$12,2,FALSE())</f>
        <v>54000000</v>
      </c>
      <c r="AE58" s="16">
        <f>IF(J58="A",VLOOKUP(T58,Asumsi_Pajak!$J$5:$K$48,2,TRUE()),IF(J58="B",VLOOKUP(T58,Asumsi_Pajak!$M$5:$N$44,2,TRUE()),VLOOKUP(T58,Asumsi_Pajak!$P$5:$Q$45,2,TRUE())))</f>
        <v>1.7500000000000002E-2</v>
      </c>
      <c r="AF58" s="15">
        <f t="shared" si="14"/>
        <v>127625000</v>
      </c>
      <c r="AG58" s="15">
        <f>AF58-MIN(ROUND(AF58*Asumsi_Pajak!$B$5,0),Asumsi_Pajak!$B$7)-SUMIFS($Y$4:$Y$75,$D$4:$D$75,$D58,$A$4:$A$75,$A58)-SUMIFS($AA$4:$AA$75,$D$4:$D$75,$D58,$A$4:$A$75,$A58)</f>
        <v>118205000</v>
      </c>
      <c r="AH58" s="15">
        <f t="shared" si="15"/>
        <v>64205000</v>
      </c>
      <c r="AI58" s="15">
        <f t="shared" si="16"/>
        <v>3630750</v>
      </c>
      <c r="AJ58" s="15">
        <f t="shared" si="17"/>
        <v>166250</v>
      </c>
      <c r="AK58" s="15">
        <f>ROUND(V58*Asumsi_Pajak!$B$10,0)</f>
        <v>380000</v>
      </c>
      <c r="AL58" s="15">
        <f>ROUND(X58*Asumsi_Pajak!$B$14,0)</f>
        <v>351500</v>
      </c>
      <c r="AM58" s="15">
        <f>ROUND(Z58*Asumsi_Pajak!$B$15,0)</f>
        <v>190000</v>
      </c>
      <c r="AN58" s="15">
        <f>ROUND(X58*VLOOKUP($D58,Master_Karyawan!$A$4:$Y$9,24,FALSE()),0)</f>
        <v>22800</v>
      </c>
      <c r="AO58" s="15">
        <f>ROUND(X58*Asumsi_Pajak!$B$16,0)</f>
        <v>28500</v>
      </c>
      <c r="AP58" s="15">
        <f t="shared" si="18"/>
        <v>10639050</v>
      </c>
      <c r="AQ58" s="15">
        <f t="shared" si="19"/>
        <v>8953750</v>
      </c>
    </row>
    <row r="59" spans="1:43" ht="14.4" x14ac:dyDescent="0.3">
      <c r="A59" s="18">
        <v>2026</v>
      </c>
      <c r="B59" s="18">
        <v>10</v>
      </c>
      <c r="C59" s="19">
        <v>46296</v>
      </c>
      <c r="D59" s="18" t="s">
        <v>52</v>
      </c>
      <c r="E59" s="12" t="str">
        <f>VLOOKUP($D59,Master_Karyawan!$A$4:$Y$9,4,FALSE())</f>
        <v>Siti Nurhaliza</v>
      </c>
      <c r="F59" s="12" t="str">
        <f>VLOOKUP($D59,Master_Karyawan!$A$4:$Y$9,11,FALSE())</f>
        <v>HR</v>
      </c>
      <c r="G59" s="12" t="str">
        <f>VLOOKUP($D59,Master_Karyawan!$A$4:$Y$9,12,FALSE())</f>
        <v>HR Officer</v>
      </c>
      <c r="H59" s="20">
        <f>VLOOKUP($D59,Master_Karyawan!$A$4:$Y$9,10,FALSE())</f>
        <v>45108</v>
      </c>
      <c r="I59" s="12" t="str">
        <f>VLOOKUP($D59,Master_Karyawan!$A$4:$Y$9,8,FALSE())</f>
        <v>K/1</v>
      </c>
      <c r="J59" s="12" t="str">
        <f>VLOOKUP($D59,Master_Karyawan!$A$4:$Y$9,9,FALSE())</f>
        <v>B</v>
      </c>
      <c r="K59" s="12">
        <f t="shared" si="10"/>
        <v>1</v>
      </c>
      <c r="L59" s="15">
        <f>IF($K59=1,VLOOKUP($D59,Master_Karyawan!$A$4:$Y$9,19,FALSE()),0)</f>
        <v>10500000</v>
      </c>
      <c r="M59" s="15">
        <f>IF($K59=1,VLOOKUP($D59,Master_Karyawan!$A$4:$Y$9,20,FALSE()),0)</f>
        <v>1500000</v>
      </c>
      <c r="N59" s="15">
        <f>IF($K59=1,VLOOKUP($D59,Master_Karyawan!$A$4:$Y$9,21,FALSE()),0)</f>
        <v>500000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15">
        <f t="shared" si="11"/>
        <v>12500000</v>
      </c>
      <c r="U59" s="15">
        <f t="shared" si="12"/>
        <v>12500000</v>
      </c>
      <c r="V59" s="15">
        <f>IF(AND($K59=1,VLOOKUP($D59,Master_Karyawan!$A$4:$Y$9,22,FALSE())="Y"),MIN(L59+M59+N59,Asumsi_Pajak!$B$8),0)</f>
        <v>12000000</v>
      </c>
      <c r="W59" s="15">
        <f>ROUND(V59*Asumsi_Pajak!$B$9,0)</f>
        <v>120000</v>
      </c>
      <c r="X59" s="15">
        <f>IF(AND($K59=1,VLOOKUP($D59,Master_Karyawan!$A$4:$Y$9,23,FALSE())="Y"),L59+M59+N59,0)</f>
        <v>12500000</v>
      </c>
      <c r="Y59" s="15">
        <f>ROUND(X59*Asumsi_Pajak!$B$11,0)</f>
        <v>250000</v>
      </c>
      <c r="Z59" s="15">
        <f>IF(AND($K59=1,VLOOKUP($D59,Master_Karyawan!$A$4:$Y$9,23,FALSE())="Y"),MIN(L59+M59+N59,Asumsi_Pajak!$B$12),0)</f>
        <v>10547000</v>
      </c>
      <c r="AA59" s="15">
        <f>ROUND(Z59*Asumsi_Pajak!$B$13,0)</f>
        <v>105470</v>
      </c>
      <c r="AB59" s="15">
        <f>MIN(ROUND(T59*Asumsi_Pajak!$B$5,0),Asumsi_Pajak!$B$6)</f>
        <v>500000</v>
      </c>
      <c r="AC59" s="15">
        <f t="shared" si="13"/>
        <v>11644530</v>
      </c>
      <c r="AD59" s="15">
        <f>VLOOKUP(I59,Asumsi_Pajak!$E$5:$F$12,2,FALSE())</f>
        <v>63000000</v>
      </c>
      <c r="AE59" s="16">
        <f>IF(J59="A",VLOOKUP(T59,Asumsi_Pajak!$J$5:$K$48,2,TRUE()),IF(J59="B",VLOOKUP(T59,Asumsi_Pajak!$M$5:$N$44,2,TRUE()),VLOOKUP(T59,Asumsi_Pajak!$P$5:$Q$45,2,TRUE())))</f>
        <v>0.03</v>
      </c>
      <c r="AF59" s="15">
        <f t="shared" si="14"/>
        <v>168016246</v>
      </c>
      <c r="AG59" s="15">
        <f>AF59-MIN(ROUND(AF59*Asumsi_Pajak!$B$5,0),Asumsi_Pajak!$B$7)-SUMIFS($Y$4:$Y$75,$D$4:$D$75,$D59,$A$4:$A$75,$A59)-SUMIFS($AA$4:$AA$75,$D$4:$D$75,$D59,$A$4:$A$75,$A59)</f>
        <v>157750606</v>
      </c>
      <c r="AH59" s="15">
        <f t="shared" si="15"/>
        <v>94750000</v>
      </c>
      <c r="AI59" s="15">
        <f t="shared" si="16"/>
        <v>8212500</v>
      </c>
      <c r="AJ59" s="15">
        <f t="shared" si="17"/>
        <v>375000</v>
      </c>
      <c r="AK59" s="15">
        <f>ROUND(V59*Asumsi_Pajak!$B$10,0)</f>
        <v>480000</v>
      </c>
      <c r="AL59" s="15">
        <f>ROUND(X59*Asumsi_Pajak!$B$14,0)</f>
        <v>462500</v>
      </c>
      <c r="AM59" s="15">
        <f>ROUND(Z59*Asumsi_Pajak!$B$15,0)</f>
        <v>210940</v>
      </c>
      <c r="AN59" s="15">
        <f>ROUND(X59*VLOOKUP($D59,Master_Karyawan!$A$4:$Y$9,24,FALSE()),0)</f>
        <v>30000</v>
      </c>
      <c r="AO59" s="15">
        <f>ROUND(X59*Asumsi_Pajak!$B$16,0)</f>
        <v>37500</v>
      </c>
      <c r="AP59" s="15">
        <f t="shared" si="18"/>
        <v>14095940</v>
      </c>
      <c r="AQ59" s="15">
        <f t="shared" si="19"/>
        <v>11649530</v>
      </c>
    </row>
    <row r="60" spans="1:43" ht="14.4" x14ac:dyDescent="0.3">
      <c r="A60" s="18">
        <v>2026</v>
      </c>
      <c r="B60" s="18">
        <v>10</v>
      </c>
      <c r="C60" s="19">
        <v>46296</v>
      </c>
      <c r="D60" s="18" t="s">
        <v>67</v>
      </c>
      <c r="E60" s="12" t="str">
        <f>VLOOKUP($D60,Master_Karyawan!$A$4:$Y$9,4,FALSE())</f>
        <v>Budi Santoso</v>
      </c>
      <c r="F60" s="12" t="str">
        <f>VLOOKUP($D60,Master_Karyawan!$A$4:$Y$9,11,FALSE())</f>
        <v>IT</v>
      </c>
      <c r="G60" s="12" t="str">
        <f>VLOOKUP($D60,Master_Karyawan!$A$4:$Y$9,12,FALSE())</f>
        <v>IT Supervisor</v>
      </c>
      <c r="H60" s="20">
        <f>VLOOKUP($D60,Master_Karyawan!$A$4:$Y$9,10,FALSE())</f>
        <v>44697</v>
      </c>
      <c r="I60" s="12" t="str">
        <f>VLOOKUP($D60,Master_Karyawan!$A$4:$Y$9,8,FALSE())</f>
        <v>K/3</v>
      </c>
      <c r="J60" s="12" t="str">
        <f>VLOOKUP($D60,Master_Karyawan!$A$4:$Y$9,9,FALSE())</f>
        <v>C</v>
      </c>
      <c r="K60" s="12">
        <f t="shared" si="10"/>
        <v>1</v>
      </c>
      <c r="L60" s="15">
        <f>IF($K60=1,VLOOKUP($D60,Master_Karyawan!$A$4:$Y$9,19,FALSE()),0)</f>
        <v>18000000</v>
      </c>
      <c r="M60" s="15">
        <f>IF($K60=1,VLOOKUP($D60,Master_Karyawan!$A$4:$Y$9,20,FALSE()),0)</f>
        <v>3000000</v>
      </c>
      <c r="N60" s="15">
        <f>IF($K60=1,VLOOKUP($D60,Master_Karyawan!$A$4:$Y$9,21,FALSE()),0)</f>
        <v>750000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15">
        <f t="shared" si="11"/>
        <v>21750000</v>
      </c>
      <c r="U60" s="15">
        <f t="shared" si="12"/>
        <v>21750000</v>
      </c>
      <c r="V60" s="15">
        <f>IF(AND($K60=1,VLOOKUP($D60,Master_Karyawan!$A$4:$Y$9,22,FALSE())="Y"),MIN(L60+M60+N60,Asumsi_Pajak!$B$8),0)</f>
        <v>12000000</v>
      </c>
      <c r="W60" s="15">
        <f>ROUND(V60*Asumsi_Pajak!$B$9,0)</f>
        <v>120000</v>
      </c>
      <c r="X60" s="15">
        <f>IF(AND($K60=1,VLOOKUP($D60,Master_Karyawan!$A$4:$Y$9,23,FALSE())="Y"),L60+M60+N60,0)</f>
        <v>21750000</v>
      </c>
      <c r="Y60" s="15">
        <f>ROUND(X60*Asumsi_Pajak!$B$11,0)</f>
        <v>435000</v>
      </c>
      <c r="Z60" s="15">
        <f>IF(AND($K60=1,VLOOKUP($D60,Master_Karyawan!$A$4:$Y$9,23,FALSE())="Y"),MIN(L60+M60+N60,Asumsi_Pajak!$B$12),0)</f>
        <v>10547000</v>
      </c>
      <c r="AA60" s="15">
        <f>ROUND(Z60*Asumsi_Pajak!$B$13,0)</f>
        <v>105470</v>
      </c>
      <c r="AB60" s="15">
        <f>MIN(ROUND(T60*Asumsi_Pajak!$B$5,0),Asumsi_Pajak!$B$6)</f>
        <v>500000</v>
      </c>
      <c r="AC60" s="15">
        <f t="shared" si="13"/>
        <v>20709530</v>
      </c>
      <c r="AD60" s="15">
        <f>VLOOKUP(I60,Asumsi_Pajak!$E$5:$F$12,2,FALSE())</f>
        <v>72000000</v>
      </c>
      <c r="AE60" s="16">
        <f>IF(J60="A",VLOOKUP(T60,Asumsi_Pajak!$J$5:$K$48,2,TRUE()),IF(J60="B",VLOOKUP(T60,Asumsi_Pajak!$M$5:$N$44,2,TRUE()),VLOOKUP(T60,Asumsi_Pajak!$P$5:$Q$45,2,TRUE())))</f>
        <v>0.08</v>
      </c>
      <c r="AF60" s="15">
        <f t="shared" si="14"/>
        <v>291697500</v>
      </c>
      <c r="AG60" s="15">
        <f>AF60-MIN(ROUND(AF60*Asumsi_Pajak!$B$5,0),Asumsi_Pajak!$B$7)-SUMIFS($Y$4:$Y$75,$D$4:$D$75,$D60,$A$4:$A$75,$A60)-SUMIFS($AA$4:$AA$75,$D$4:$D$75,$D60,$A$4:$A$75,$A60)</f>
        <v>279211860</v>
      </c>
      <c r="AH60" s="15">
        <f t="shared" si="15"/>
        <v>207211000</v>
      </c>
      <c r="AI60" s="15">
        <f t="shared" si="16"/>
        <v>25081650</v>
      </c>
      <c r="AJ60" s="15">
        <f t="shared" si="17"/>
        <v>1740000</v>
      </c>
      <c r="AK60" s="15">
        <f>ROUND(V60*Asumsi_Pajak!$B$10,0)</f>
        <v>480000</v>
      </c>
      <c r="AL60" s="15">
        <f>ROUND(X60*Asumsi_Pajak!$B$14,0)</f>
        <v>804750</v>
      </c>
      <c r="AM60" s="15">
        <f>ROUND(Z60*Asumsi_Pajak!$B$15,0)</f>
        <v>210940</v>
      </c>
      <c r="AN60" s="15">
        <f>ROUND(X60*VLOOKUP($D60,Master_Karyawan!$A$4:$Y$9,24,FALSE()),0)</f>
        <v>117450</v>
      </c>
      <c r="AO60" s="15">
        <f>ROUND(X60*Asumsi_Pajak!$B$16,0)</f>
        <v>65250</v>
      </c>
      <c r="AP60" s="15">
        <f t="shared" si="18"/>
        <v>25168390</v>
      </c>
      <c r="AQ60" s="15">
        <f t="shared" si="19"/>
        <v>19349530</v>
      </c>
    </row>
    <row r="61" spans="1:43" ht="14.4" x14ac:dyDescent="0.3">
      <c r="A61" s="18">
        <v>2026</v>
      </c>
      <c r="B61" s="18">
        <v>10</v>
      </c>
      <c r="C61" s="19">
        <v>46296</v>
      </c>
      <c r="D61" s="18" t="s">
        <v>80</v>
      </c>
      <c r="E61" s="12" t="str">
        <f>VLOOKUP($D61,Master_Karyawan!$A$4:$Y$9,4,FALSE())</f>
        <v>Dewi Lestari</v>
      </c>
      <c r="F61" s="12" t="str">
        <f>VLOOKUP($D61,Master_Karyawan!$A$4:$Y$9,11,FALSE())</f>
        <v>Finance</v>
      </c>
      <c r="G61" s="12" t="str">
        <f>VLOOKUP($D61,Master_Karyawan!$A$4:$Y$9,12,FALSE())</f>
        <v>Finance Analyst</v>
      </c>
      <c r="H61" s="20">
        <f>VLOOKUP($D61,Master_Karyawan!$A$4:$Y$9,10,FALSE())</f>
        <v>45689</v>
      </c>
      <c r="I61" s="12" t="str">
        <f>VLOOKUP($D61,Master_Karyawan!$A$4:$Y$9,8,FALSE())</f>
        <v>TK/2</v>
      </c>
      <c r="J61" s="12" t="str">
        <f>VLOOKUP($D61,Master_Karyawan!$A$4:$Y$9,9,FALSE())</f>
        <v>B</v>
      </c>
      <c r="K61" s="12">
        <f t="shared" si="10"/>
        <v>1</v>
      </c>
      <c r="L61" s="15">
        <f>IF($K61=1,VLOOKUP($D61,Master_Karyawan!$A$4:$Y$9,19,FALSE()),0)</f>
        <v>14000000</v>
      </c>
      <c r="M61" s="15">
        <f>IF($K61=1,VLOOKUP($D61,Master_Karyawan!$A$4:$Y$9,20,FALSE()),0)</f>
        <v>2000000</v>
      </c>
      <c r="N61" s="15">
        <f>IF($K61=1,VLOOKUP($D61,Master_Karyawan!$A$4:$Y$9,21,FALSE()),0)</f>
        <v>650000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15">
        <f t="shared" si="11"/>
        <v>16650000</v>
      </c>
      <c r="U61" s="15">
        <f t="shared" si="12"/>
        <v>16650000</v>
      </c>
      <c r="V61" s="15">
        <f>IF(AND($K61=1,VLOOKUP($D61,Master_Karyawan!$A$4:$Y$9,22,FALSE())="Y"),MIN(L61+M61+N61,Asumsi_Pajak!$B$8),0)</f>
        <v>12000000</v>
      </c>
      <c r="W61" s="15">
        <f>ROUND(V61*Asumsi_Pajak!$B$9,0)</f>
        <v>120000</v>
      </c>
      <c r="X61" s="15">
        <f>IF(AND($K61=1,VLOOKUP($D61,Master_Karyawan!$A$4:$Y$9,23,FALSE())="Y"),L61+M61+N61,0)</f>
        <v>16650000</v>
      </c>
      <c r="Y61" s="15">
        <f>ROUND(X61*Asumsi_Pajak!$B$11,0)</f>
        <v>333000</v>
      </c>
      <c r="Z61" s="15">
        <f>IF(AND($K61=1,VLOOKUP($D61,Master_Karyawan!$A$4:$Y$9,23,FALSE())="Y"),MIN(L61+M61+N61,Asumsi_Pajak!$B$12),0)</f>
        <v>10547000</v>
      </c>
      <c r="AA61" s="15">
        <f>ROUND(Z61*Asumsi_Pajak!$B$13,0)</f>
        <v>105470</v>
      </c>
      <c r="AB61" s="15">
        <f>MIN(ROUND(T61*Asumsi_Pajak!$B$5,0),Asumsi_Pajak!$B$6)</f>
        <v>500000</v>
      </c>
      <c r="AC61" s="15">
        <f t="shared" si="13"/>
        <v>15711530</v>
      </c>
      <c r="AD61" s="15">
        <f>VLOOKUP(I61,Asumsi_Pajak!$E$5:$F$12,2,FALSE())</f>
        <v>63000000</v>
      </c>
      <c r="AE61" s="16">
        <f>IF(J61="A",VLOOKUP(T61,Asumsi_Pajak!$J$5:$K$48,2,TRUE()),IF(J61="B",VLOOKUP(T61,Asumsi_Pajak!$M$5:$N$44,2,TRUE()),VLOOKUP(T61,Asumsi_Pajak!$P$5:$Q$45,2,TRUE())))</f>
        <v>7.0000000000000007E-2</v>
      </c>
      <c r="AF61" s="15">
        <f t="shared" si="14"/>
        <v>224608750</v>
      </c>
      <c r="AG61" s="15">
        <f>AF61-MIN(ROUND(AF61*Asumsi_Pajak!$B$5,0),Asumsi_Pajak!$B$7)-SUMIFS($Y$4:$Y$75,$D$4:$D$75,$D61,$A$4:$A$75,$A61)-SUMIFS($AA$4:$AA$75,$D$4:$D$75,$D61,$A$4:$A$75,$A61)</f>
        <v>213347110</v>
      </c>
      <c r="AH61" s="15">
        <f t="shared" si="15"/>
        <v>150347000</v>
      </c>
      <c r="AI61" s="15">
        <f t="shared" si="16"/>
        <v>16552050</v>
      </c>
      <c r="AJ61" s="15">
        <f t="shared" si="17"/>
        <v>1165500</v>
      </c>
      <c r="AK61" s="15">
        <f>ROUND(V61*Asumsi_Pajak!$B$10,0)</f>
        <v>480000</v>
      </c>
      <c r="AL61" s="15">
        <f>ROUND(X61*Asumsi_Pajak!$B$14,0)</f>
        <v>616050</v>
      </c>
      <c r="AM61" s="15">
        <f>ROUND(Z61*Asumsi_Pajak!$B$15,0)</f>
        <v>210940</v>
      </c>
      <c r="AN61" s="15">
        <f>ROUND(X61*VLOOKUP($D61,Master_Karyawan!$A$4:$Y$9,24,FALSE()),0)</f>
        <v>39960</v>
      </c>
      <c r="AO61" s="15">
        <f>ROUND(X61*Asumsi_Pajak!$B$16,0)</f>
        <v>49950</v>
      </c>
      <c r="AP61" s="15">
        <f t="shared" si="18"/>
        <v>19212400</v>
      </c>
      <c r="AQ61" s="15">
        <f t="shared" si="19"/>
        <v>14926030</v>
      </c>
    </row>
    <row r="62" spans="1:43" ht="14.4" x14ac:dyDescent="0.3">
      <c r="A62" s="18">
        <v>2026</v>
      </c>
      <c r="B62" s="18">
        <v>10</v>
      </c>
      <c r="C62" s="19">
        <v>46296</v>
      </c>
      <c r="D62" s="18" t="s">
        <v>92</v>
      </c>
      <c r="E62" s="12" t="str">
        <f>VLOOKUP($D62,Master_Karyawan!$A$4:$Y$9,4,FALSE())</f>
        <v>Rudi Hartono</v>
      </c>
      <c r="F62" s="12" t="str">
        <f>VLOOKUP($D62,Master_Karyawan!$A$4:$Y$9,11,FALSE())</f>
        <v>Operations</v>
      </c>
      <c r="G62" s="12" t="str">
        <f>VLOOKUP($D62,Master_Karyawan!$A$4:$Y$9,12,FALSE())</f>
        <v>Warehouse Lead</v>
      </c>
      <c r="H62" s="20">
        <f>VLOOKUP($D62,Master_Karyawan!$A$4:$Y$9,10,FALSE())</f>
        <v>44508</v>
      </c>
      <c r="I62" s="12" t="str">
        <f>VLOOKUP($D62,Master_Karyawan!$A$4:$Y$9,8,FALSE())</f>
        <v>K/0</v>
      </c>
      <c r="J62" s="12" t="str">
        <f>VLOOKUP($D62,Master_Karyawan!$A$4:$Y$9,9,FALSE())</f>
        <v>A</v>
      </c>
      <c r="K62" s="12">
        <f t="shared" si="10"/>
        <v>1</v>
      </c>
      <c r="L62" s="15">
        <f>IF($K62=1,VLOOKUP($D62,Master_Karyawan!$A$4:$Y$9,19,FALSE()),0)</f>
        <v>7500000</v>
      </c>
      <c r="M62" s="15">
        <f>IF($K62=1,VLOOKUP($D62,Master_Karyawan!$A$4:$Y$9,20,FALSE()),0)</f>
        <v>1000000</v>
      </c>
      <c r="N62" s="15">
        <f>IF($K62=1,VLOOKUP($D62,Master_Karyawan!$A$4:$Y$9,21,FALSE()),0)</f>
        <v>400000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15">
        <f t="shared" si="11"/>
        <v>8900000</v>
      </c>
      <c r="U62" s="15">
        <f t="shared" si="12"/>
        <v>8900000</v>
      </c>
      <c r="V62" s="15">
        <f>IF(AND($K62=1,VLOOKUP($D62,Master_Karyawan!$A$4:$Y$9,22,FALSE())="Y"),MIN(L62+M62+N62,Asumsi_Pajak!$B$8),0)</f>
        <v>8900000</v>
      </c>
      <c r="W62" s="15">
        <f>ROUND(V62*Asumsi_Pajak!$B$9,0)</f>
        <v>89000</v>
      </c>
      <c r="X62" s="15">
        <f>IF(AND($K62=1,VLOOKUP($D62,Master_Karyawan!$A$4:$Y$9,23,FALSE())="Y"),L62+M62+N62,0)</f>
        <v>8900000</v>
      </c>
      <c r="Y62" s="15">
        <f>ROUND(X62*Asumsi_Pajak!$B$11,0)</f>
        <v>178000</v>
      </c>
      <c r="Z62" s="15">
        <f>IF(AND($K62=1,VLOOKUP($D62,Master_Karyawan!$A$4:$Y$9,23,FALSE())="Y"),MIN(L62+M62+N62,Asumsi_Pajak!$B$12),0)</f>
        <v>8900000</v>
      </c>
      <c r="AA62" s="15">
        <f>ROUND(Z62*Asumsi_Pajak!$B$13,0)</f>
        <v>89000</v>
      </c>
      <c r="AB62" s="15">
        <f>MIN(ROUND(T62*Asumsi_Pajak!$B$5,0),Asumsi_Pajak!$B$6)</f>
        <v>445000</v>
      </c>
      <c r="AC62" s="15">
        <f t="shared" si="13"/>
        <v>8188000</v>
      </c>
      <c r="AD62" s="15">
        <f>VLOOKUP(I62,Asumsi_Pajak!$E$5:$F$12,2,FALSE())</f>
        <v>58500000</v>
      </c>
      <c r="AE62" s="16">
        <f>IF(J62="A",VLOOKUP(T62,Asumsi_Pajak!$J$5:$K$48,2,TRUE()),IF(J62="B",VLOOKUP(T62,Asumsi_Pajak!$M$5:$N$44,2,TRUE()),VLOOKUP(T62,Asumsi_Pajak!$P$5:$Q$45,2,TRUE())))</f>
        <v>1.7500000000000002E-2</v>
      </c>
      <c r="AF62" s="15">
        <f t="shared" si="14"/>
        <v>121845000</v>
      </c>
      <c r="AG62" s="15">
        <f>AF62-MIN(ROUND(AF62*Asumsi_Pajak!$B$5,0),Asumsi_Pajak!$B$7)-SUMIFS($Y$4:$Y$75,$D$4:$D$75,$D62,$A$4:$A$75,$A62)-SUMIFS($AA$4:$AA$75,$D$4:$D$75,$D62,$A$4:$A$75,$A62)</f>
        <v>112641000</v>
      </c>
      <c r="AH62" s="15">
        <f t="shared" si="15"/>
        <v>54141000</v>
      </c>
      <c r="AI62" s="15">
        <f t="shared" si="16"/>
        <v>2707050</v>
      </c>
      <c r="AJ62" s="15">
        <f t="shared" si="17"/>
        <v>155750</v>
      </c>
      <c r="AK62" s="15">
        <f>ROUND(V62*Asumsi_Pajak!$B$10,0)</f>
        <v>356000</v>
      </c>
      <c r="AL62" s="15">
        <f>ROUND(X62*Asumsi_Pajak!$B$14,0)</f>
        <v>329300</v>
      </c>
      <c r="AM62" s="15">
        <f>ROUND(Z62*Asumsi_Pajak!$B$15,0)</f>
        <v>178000</v>
      </c>
      <c r="AN62" s="15">
        <f>ROUND(X62*VLOOKUP($D62,Master_Karyawan!$A$4:$Y$9,24,FALSE()),0)</f>
        <v>48060</v>
      </c>
      <c r="AO62" s="15">
        <f>ROUND(X62*Asumsi_Pajak!$B$16,0)</f>
        <v>26700</v>
      </c>
      <c r="AP62" s="15">
        <f t="shared" si="18"/>
        <v>9993810</v>
      </c>
      <c r="AQ62" s="15">
        <f t="shared" si="19"/>
        <v>8388250</v>
      </c>
    </row>
    <row r="63" spans="1:43" ht="14.4" x14ac:dyDescent="0.3">
      <c r="A63" s="18">
        <v>2026</v>
      </c>
      <c r="B63" s="18">
        <v>10</v>
      </c>
      <c r="C63" s="19">
        <v>46296</v>
      </c>
      <c r="D63" s="18" t="s">
        <v>104</v>
      </c>
      <c r="E63" s="12" t="str">
        <f>VLOOKUP($D63,Master_Karyawan!$A$4:$Y$9,4,FALSE())</f>
        <v>Maya Putri</v>
      </c>
      <c r="F63" s="12" t="str">
        <f>VLOOKUP($D63,Master_Karyawan!$A$4:$Y$9,11,FALSE())</f>
        <v>Marketing</v>
      </c>
      <c r="G63" s="12" t="str">
        <f>VLOOKUP($D63,Master_Karyawan!$A$4:$Y$9,12,FALSE())</f>
        <v>Marketing Specialist</v>
      </c>
      <c r="H63" s="20">
        <f>VLOOKUP($D63,Master_Karyawan!$A$4:$Y$9,10,FALSE())</f>
        <v>45537</v>
      </c>
      <c r="I63" s="12" t="str">
        <f>VLOOKUP($D63,Master_Karyawan!$A$4:$Y$9,8,FALSE())</f>
        <v>TK/1</v>
      </c>
      <c r="J63" s="12" t="str">
        <f>VLOOKUP($D63,Master_Karyawan!$A$4:$Y$9,9,FALSE())</f>
        <v>A</v>
      </c>
      <c r="K63" s="12">
        <f t="shared" si="10"/>
        <v>1</v>
      </c>
      <c r="L63" s="15">
        <f>IF($K63=1,VLOOKUP($D63,Master_Karyawan!$A$4:$Y$9,19,FALSE()),0)</f>
        <v>12500000</v>
      </c>
      <c r="M63" s="15">
        <f>IF($K63=1,VLOOKUP($D63,Master_Karyawan!$A$4:$Y$9,20,FALSE()),0)</f>
        <v>2000000</v>
      </c>
      <c r="N63" s="15">
        <f>IF($K63=1,VLOOKUP($D63,Master_Karyawan!$A$4:$Y$9,21,FALSE()),0)</f>
        <v>600000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15">
        <f t="shared" si="11"/>
        <v>15100000</v>
      </c>
      <c r="U63" s="15">
        <f t="shared" si="12"/>
        <v>15100000</v>
      </c>
      <c r="V63" s="15">
        <f>IF(AND($K63=1,VLOOKUP($D63,Master_Karyawan!$A$4:$Y$9,22,FALSE())="Y"),MIN(L63+M63+N63,Asumsi_Pajak!$B$8),0)</f>
        <v>12000000</v>
      </c>
      <c r="W63" s="15">
        <f>ROUND(V63*Asumsi_Pajak!$B$9,0)</f>
        <v>120000</v>
      </c>
      <c r="X63" s="15">
        <f>IF(AND($K63=1,VLOOKUP($D63,Master_Karyawan!$A$4:$Y$9,23,FALSE())="Y"),L63+M63+N63,0)</f>
        <v>15100000</v>
      </c>
      <c r="Y63" s="15">
        <f>ROUND(X63*Asumsi_Pajak!$B$11,0)</f>
        <v>302000</v>
      </c>
      <c r="Z63" s="15">
        <f>IF(AND($K63=1,VLOOKUP($D63,Master_Karyawan!$A$4:$Y$9,23,FALSE())="Y"),MIN(L63+M63+N63,Asumsi_Pajak!$B$12),0)</f>
        <v>10547000</v>
      </c>
      <c r="AA63" s="15">
        <f>ROUND(Z63*Asumsi_Pajak!$B$13,0)</f>
        <v>105470</v>
      </c>
      <c r="AB63" s="15">
        <f>MIN(ROUND(T63*Asumsi_Pajak!$B$5,0),Asumsi_Pajak!$B$6)</f>
        <v>500000</v>
      </c>
      <c r="AC63" s="15">
        <f t="shared" si="13"/>
        <v>14192530</v>
      </c>
      <c r="AD63" s="15">
        <f>VLOOKUP(I63,Asumsi_Pajak!$E$5:$F$12,2,FALSE())</f>
        <v>58500000</v>
      </c>
      <c r="AE63" s="16">
        <f>IF(J63="A",VLOOKUP(T63,Asumsi_Pajak!$J$5:$K$48,2,TRUE()),IF(J63="B",VLOOKUP(T63,Asumsi_Pajak!$M$5:$N$44,2,TRUE()),VLOOKUP(T63,Asumsi_Pajak!$P$5:$Q$45,2,TRUE())))</f>
        <v>0.06</v>
      </c>
      <c r="AF63" s="15">
        <f t="shared" si="14"/>
        <v>205381250</v>
      </c>
      <c r="AG63" s="15">
        <f>AF63-MIN(ROUND(AF63*Asumsi_Pajak!$B$5,0),Asumsi_Pajak!$B$7)-SUMIFS($Y$4:$Y$75,$D$4:$D$75,$D63,$A$4:$A$75,$A63)-SUMIFS($AA$4:$AA$75,$D$4:$D$75,$D63,$A$4:$A$75,$A63)</f>
        <v>194491610</v>
      </c>
      <c r="AH63" s="15">
        <f t="shared" si="15"/>
        <v>135991000</v>
      </c>
      <c r="AI63" s="15">
        <f t="shared" si="16"/>
        <v>14398650</v>
      </c>
      <c r="AJ63" s="15">
        <f t="shared" si="17"/>
        <v>906000</v>
      </c>
      <c r="AK63" s="15">
        <f>ROUND(V63*Asumsi_Pajak!$B$10,0)</f>
        <v>480000</v>
      </c>
      <c r="AL63" s="15">
        <f>ROUND(X63*Asumsi_Pajak!$B$14,0)</f>
        <v>558700</v>
      </c>
      <c r="AM63" s="15">
        <f>ROUND(Z63*Asumsi_Pajak!$B$15,0)</f>
        <v>210940</v>
      </c>
      <c r="AN63" s="15">
        <f>ROUND(X63*VLOOKUP($D63,Master_Karyawan!$A$4:$Y$9,24,FALSE()),0)</f>
        <v>36240</v>
      </c>
      <c r="AO63" s="15">
        <f>ROUND(X63*Asumsi_Pajak!$B$16,0)</f>
        <v>45300</v>
      </c>
      <c r="AP63" s="15">
        <f t="shared" si="18"/>
        <v>17337180</v>
      </c>
      <c r="AQ63" s="15">
        <f t="shared" si="19"/>
        <v>13666530</v>
      </c>
    </row>
    <row r="64" spans="1:43" ht="14.4" x14ac:dyDescent="0.3">
      <c r="A64" s="18">
        <v>2026</v>
      </c>
      <c r="B64" s="18">
        <v>11</v>
      </c>
      <c r="C64" s="19">
        <v>46327</v>
      </c>
      <c r="D64" s="18" t="s">
        <v>34</v>
      </c>
      <c r="E64" s="12" t="str">
        <f>VLOOKUP($D64,Master_Karyawan!$A$4:$Y$9,4,FALSE())</f>
        <v>Andi Pratama</v>
      </c>
      <c r="F64" s="12" t="str">
        <f>VLOOKUP($D64,Master_Karyawan!$A$4:$Y$9,11,FALSE())</f>
        <v>Sales</v>
      </c>
      <c r="G64" s="12" t="str">
        <f>VLOOKUP($D64,Master_Karyawan!$A$4:$Y$9,12,FALSE())</f>
        <v>Sales Executive</v>
      </c>
      <c r="H64" s="20">
        <f>VLOOKUP($D64,Master_Karyawan!$A$4:$Y$9,10,FALSE())</f>
        <v>45301</v>
      </c>
      <c r="I64" s="12" t="str">
        <f>VLOOKUP($D64,Master_Karyawan!$A$4:$Y$9,8,FALSE())</f>
        <v>TK/0</v>
      </c>
      <c r="J64" s="12" t="str">
        <f>VLOOKUP($D64,Master_Karyawan!$A$4:$Y$9,9,FALSE())</f>
        <v>A</v>
      </c>
      <c r="K64" s="12">
        <f t="shared" si="10"/>
        <v>1</v>
      </c>
      <c r="L64" s="15">
        <f>IF($K64=1,VLOOKUP($D64,Master_Karyawan!$A$4:$Y$9,19,FALSE()),0)</f>
        <v>8000000</v>
      </c>
      <c r="M64" s="15">
        <f>IF($K64=1,VLOOKUP($D64,Master_Karyawan!$A$4:$Y$9,20,FALSE()),0)</f>
        <v>1000000</v>
      </c>
      <c r="N64" s="15">
        <f>IF($K64=1,VLOOKUP($D64,Master_Karyawan!$A$4:$Y$9,21,FALSE()),0)</f>
        <v>500000</v>
      </c>
      <c r="O64" s="21">
        <v>325000</v>
      </c>
      <c r="P64" s="21">
        <v>0</v>
      </c>
      <c r="Q64" s="21">
        <v>0</v>
      </c>
      <c r="R64" s="21">
        <v>0</v>
      </c>
      <c r="S64" s="21">
        <v>75000</v>
      </c>
      <c r="T64" s="15">
        <f t="shared" si="11"/>
        <v>9825000</v>
      </c>
      <c r="U64" s="15">
        <f t="shared" si="12"/>
        <v>9825000</v>
      </c>
      <c r="V64" s="15">
        <f>IF(AND($K64=1,VLOOKUP($D64,Master_Karyawan!$A$4:$Y$9,22,FALSE())="Y"),MIN(L64+M64+N64,Asumsi_Pajak!$B$8),0)</f>
        <v>9500000</v>
      </c>
      <c r="W64" s="15">
        <f>ROUND(V64*Asumsi_Pajak!$B$9,0)</f>
        <v>95000</v>
      </c>
      <c r="X64" s="15">
        <f>IF(AND($K64=1,VLOOKUP($D64,Master_Karyawan!$A$4:$Y$9,23,FALSE())="Y"),L64+M64+N64,0)</f>
        <v>9500000</v>
      </c>
      <c r="Y64" s="15">
        <f>ROUND(X64*Asumsi_Pajak!$B$11,0)</f>
        <v>190000</v>
      </c>
      <c r="Z64" s="15">
        <f>IF(AND($K64=1,VLOOKUP($D64,Master_Karyawan!$A$4:$Y$9,23,FALSE())="Y"),MIN(L64+M64+N64,Asumsi_Pajak!$B$12),0)</f>
        <v>9500000</v>
      </c>
      <c r="AA64" s="15">
        <f>ROUND(Z64*Asumsi_Pajak!$B$13,0)</f>
        <v>95000</v>
      </c>
      <c r="AB64" s="15">
        <f>MIN(ROUND(T64*Asumsi_Pajak!$B$5,0),Asumsi_Pajak!$B$6)</f>
        <v>491250</v>
      </c>
      <c r="AC64" s="15">
        <f t="shared" si="13"/>
        <v>9048750</v>
      </c>
      <c r="AD64" s="15">
        <f>VLOOKUP(I64,Asumsi_Pajak!$E$5:$F$12,2,FALSE())</f>
        <v>54000000</v>
      </c>
      <c r="AE64" s="16">
        <f>IF(J64="A",VLOOKUP(T64,Asumsi_Pajak!$J$5:$K$48,2,TRUE()),IF(J64="B",VLOOKUP(T64,Asumsi_Pajak!$M$5:$N$44,2,TRUE()),VLOOKUP(T64,Asumsi_Pajak!$P$5:$Q$45,2,TRUE())))</f>
        <v>0.02</v>
      </c>
      <c r="AF64" s="15">
        <f t="shared" si="14"/>
        <v>127625000</v>
      </c>
      <c r="AG64" s="15">
        <f>AF64-MIN(ROUND(AF64*Asumsi_Pajak!$B$5,0),Asumsi_Pajak!$B$7)-SUMIFS($Y$4:$Y$75,$D$4:$D$75,$D64,$A$4:$A$75,$A64)-SUMIFS($AA$4:$AA$75,$D$4:$D$75,$D64,$A$4:$A$75,$A64)</f>
        <v>118205000</v>
      </c>
      <c r="AH64" s="15">
        <f t="shared" si="15"/>
        <v>64205000</v>
      </c>
      <c r="AI64" s="15">
        <f t="shared" si="16"/>
        <v>3630750</v>
      </c>
      <c r="AJ64" s="15">
        <f t="shared" si="17"/>
        <v>196500</v>
      </c>
      <c r="AK64" s="15">
        <f>ROUND(V64*Asumsi_Pajak!$B$10,0)</f>
        <v>380000</v>
      </c>
      <c r="AL64" s="15">
        <f>ROUND(X64*Asumsi_Pajak!$B$14,0)</f>
        <v>351500</v>
      </c>
      <c r="AM64" s="15">
        <f>ROUND(Z64*Asumsi_Pajak!$B$15,0)</f>
        <v>190000</v>
      </c>
      <c r="AN64" s="15">
        <f>ROUND(X64*VLOOKUP($D64,Master_Karyawan!$A$4:$Y$9,24,FALSE()),0)</f>
        <v>22800</v>
      </c>
      <c r="AO64" s="15">
        <f>ROUND(X64*Asumsi_Pajak!$B$16,0)</f>
        <v>28500</v>
      </c>
      <c r="AP64" s="15">
        <f t="shared" si="18"/>
        <v>10994300</v>
      </c>
      <c r="AQ64" s="15">
        <f t="shared" si="19"/>
        <v>9173500</v>
      </c>
    </row>
    <row r="65" spans="1:43" ht="14.4" x14ac:dyDescent="0.3">
      <c r="A65" s="18">
        <v>2026</v>
      </c>
      <c r="B65" s="18">
        <v>11</v>
      </c>
      <c r="C65" s="19">
        <v>46327</v>
      </c>
      <c r="D65" s="18" t="s">
        <v>52</v>
      </c>
      <c r="E65" s="12" t="str">
        <f>VLOOKUP($D65,Master_Karyawan!$A$4:$Y$9,4,FALSE())</f>
        <v>Siti Nurhaliza</v>
      </c>
      <c r="F65" s="12" t="str">
        <f>VLOOKUP($D65,Master_Karyawan!$A$4:$Y$9,11,FALSE())</f>
        <v>HR</v>
      </c>
      <c r="G65" s="12" t="str">
        <f>VLOOKUP($D65,Master_Karyawan!$A$4:$Y$9,12,FALSE())</f>
        <v>HR Officer</v>
      </c>
      <c r="H65" s="20">
        <f>VLOOKUP($D65,Master_Karyawan!$A$4:$Y$9,10,FALSE())</f>
        <v>45108</v>
      </c>
      <c r="I65" s="12" t="str">
        <f>VLOOKUP($D65,Master_Karyawan!$A$4:$Y$9,8,FALSE())</f>
        <v>K/1</v>
      </c>
      <c r="J65" s="12" t="str">
        <f>VLOOKUP($D65,Master_Karyawan!$A$4:$Y$9,9,FALSE())</f>
        <v>B</v>
      </c>
      <c r="K65" s="12">
        <f t="shared" si="10"/>
        <v>1</v>
      </c>
      <c r="L65" s="15">
        <f>IF($K65=1,VLOOKUP($D65,Master_Karyawan!$A$4:$Y$9,19,FALSE()),0)</f>
        <v>10500000</v>
      </c>
      <c r="M65" s="15">
        <f>IF($K65=1,VLOOKUP($D65,Master_Karyawan!$A$4:$Y$9,20,FALSE()),0)</f>
        <v>1500000</v>
      </c>
      <c r="N65" s="15">
        <f>IF($K65=1,VLOOKUP($D65,Master_Karyawan!$A$4:$Y$9,21,FALSE()),0)</f>
        <v>500000</v>
      </c>
      <c r="O65" s="21">
        <v>373750</v>
      </c>
      <c r="P65" s="21">
        <v>0</v>
      </c>
      <c r="Q65" s="21">
        <v>0</v>
      </c>
      <c r="R65" s="21">
        <v>0</v>
      </c>
      <c r="S65" s="21">
        <v>0</v>
      </c>
      <c r="T65" s="15">
        <f t="shared" si="11"/>
        <v>12873750</v>
      </c>
      <c r="U65" s="15">
        <f t="shared" si="12"/>
        <v>12873750</v>
      </c>
      <c r="V65" s="15">
        <f>IF(AND($K65=1,VLOOKUP($D65,Master_Karyawan!$A$4:$Y$9,22,FALSE())="Y"),MIN(L65+M65+N65,Asumsi_Pajak!$B$8),0)</f>
        <v>12000000</v>
      </c>
      <c r="W65" s="15">
        <f>ROUND(V65*Asumsi_Pajak!$B$9,0)</f>
        <v>120000</v>
      </c>
      <c r="X65" s="15">
        <f>IF(AND($K65=1,VLOOKUP($D65,Master_Karyawan!$A$4:$Y$9,23,FALSE())="Y"),L65+M65+N65,0)</f>
        <v>12500000</v>
      </c>
      <c r="Y65" s="15">
        <f>ROUND(X65*Asumsi_Pajak!$B$11,0)</f>
        <v>250000</v>
      </c>
      <c r="Z65" s="15">
        <f>IF(AND($K65=1,VLOOKUP($D65,Master_Karyawan!$A$4:$Y$9,23,FALSE())="Y"),MIN(L65+M65+N65,Asumsi_Pajak!$B$12),0)</f>
        <v>10547000</v>
      </c>
      <c r="AA65" s="15">
        <f>ROUND(Z65*Asumsi_Pajak!$B$13,0)</f>
        <v>105470</v>
      </c>
      <c r="AB65" s="15">
        <f>MIN(ROUND(T65*Asumsi_Pajak!$B$5,0),Asumsi_Pajak!$B$6)</f>
        <v>500000</v>
      </c>
      <c r="AC65" s="15">
        <f t="shared" si="13"/>
        <v>12018280</v>
      </c>
      <c r="AD65" s="15">
        <f>VLOOKUP(I65,Asumsi_Pajak!$E$5:$F$12,2,FALSE())</f>
        <v>63000000</v>
      </c>
      <c r="AE65" s="16">
        <f>IF(J65="A",VLOOKUP(T65,Asumsi_Pajak!$J$5:$K$48,2,TRUE()),IF(J65="B",VLOOKUP(T65,Asumsi_Pajak!$M$5:$N$44,2,TRUE()),VLOOKUP(T65,Asumsi_Pajak!$P$5:$Q$45,2,TRUE())))</f>
        <v>0.04</v>
      </c>
      <c r="AF65" s="15">
        <f t="shared" si="14"/>
        <v>168016246</v>
      </c>
      <c r="AG65" s="15">
        <f>AF65-MIN(ROUND(AF65*Asumsi_Pajak!$B$5,0),Asumsi_Pajak!$B$7)-SUMIFS($Y$4:$Y$75,$D$4:$D$75,$D65,$A$4:$A$75,$A65)-SUMIFS($AA$4:$AA$75,$D$4:$D$75,$D65,$A$4:$A$75,$A65)</f>
        <v>157750606</v>
      </c>
      <c r="AH65" s="15">
        <f t="shared" si="15"/>
        <v>94750000</v>
      </c>
      <c r="AI65" s="15">
        <f t="shared" si="16"/>
        <v>8212500</v>
      </c>
      <c r="AJ65" s="15">
        <f t="shared" si="17"/>
        <v>514950</v>
      </c>
      <c r="AK65" s="15">
        <f>ROUND(V65*Asumsi_Pajak!$B$10,0)</f>
        <v>480000</v>
      </c>
      <c r="AL65" s="15">
        <f>ROUND(X65*Asumsi_Pajak!$B$14,0)</f>
        <v>462500</v>
      </c>
      <c r="AM65" s="15">
        <f>ROUND(Z65*Asumsi_Pajak!$B$15,0)</f>
        <v>210940</v>
      </c>
      <c r="AN65" s="15">
        <f>ROUND(X65*VLOOKUP($D65,Master_Karyawan!$A$4:$Y$9,24,FALSE()),0)</f>
        <v>30000</v>
      </c>
      <c r="AO65" s="15">
        <f>ROUND(X65*Asumsi_Pajak!$B$16,0)</f>
        <v>37500</v>
      </c>
      <c r="AP65" s="15">
        <f t="shared" si="18"/>
        <v>14609640</v>
      </c>
      <c r="AQ65" s="15">
        <f t="shared" si="19"/>
        <v>11883330</v>
      </c>
    </row>
    <row r="66" spans="1:43" ht="14.4" x14ac:dyDescent="0.3">
      <c r="A66" s="18">
        <v>2026</v>
      </c>
      <c r="B66" s="18">
        <v>11</v>
      </c>
      <c r="C66" s="19">
        <v>46327</v>
      </c>
      <c r="D66" s="18" t="s">
        <v>67</v>
      </c>
      <c r="E66" s="12" t="str">
        <f>VLOOKUP($D66,Master_Karyawan!$A$4:$Y$9,4,FALSE())</f>
        <v>Budi Santoso</v>
      </c>
      <c r="F66" s="12" t="str">
        <f>VLOOKUP($D66,Master_Karyawan!$A$4:$Y$9,11,FALSE())</f>
        <v>IT</v>
      </c>
      <c r="G66" s="12" t="str">
        <f>VLOOKUP($D66,Master_Karyawan!$A$4:$Y$9,12,FALSE())</f>
        <v>IT Supervisor</v>
      </c>
      <c r="H66" s="20">
        <f>VLOOKUP($D66,Master_Karyawan!$A$4:$Y$9,10,FALSE())</f>
        <v>44697</v>
      </c>
      <c r="I66" s="12" t="str">
        <f>VLOOKUP($D66,Master_Karyawan!$A$4:$Y$9,8,FALSE())</f>
        <v>K/3</v>
      </c>
      <c r="J66" s="12" t="str">
        <f>VLOOKUP($D66,Master_Karyawan!$A$4:$Y$9,9,FALSE())</f>
        <v>C</v>
      </c>
      <c r="K66" s="12">
        <f t="shared" si="10"/>
        <v>1</v>
      </c>
      <c r="L66" s="15">
        <f>IF($K66=1,VLOOKUP($D66,Master_Karyawan!$A$4:$Y$9,19,FALSE()),0)</f>
        <v>18000000</v>
      </c>
      <c r="M66" s="15">
        <f>IF($K66=1,VLOOKUP($D66,Master_Karyawan!$A$4:$Y$9,20,FALSE()),0)</f>
        <v>3000000</v>
      </c>
      <c r="N66" s="15">
        <f>IF($K66=1,VLOOKUP($D66,Master_Karyawan!$A$4:$Y$9,21,FALSE()),0)</f>
        <v>750000</v>
      </c>
      <c r="O66" s="21">
        <v>422500</v>
      </c>
      <c r="P66" s="21">
        <v>0</v>
      </c>
      <c r="Q66" s="21">
        <v>0</v>
      </c>
      <c r="R66" s="21">
        <v>0</v>
      </c>
      <c r="S66" s="21">
        <v>0</v>
      </c>
      <c r="T66" s="15">
        <f t="shared" si="11"/>
        <v>22172500</v>
      </c>
      <c r="U66" s="15">
        <f t="shared" si="12"/>
        <v>22172500</v>
      </c>
      <c r="V66" s="15">
        <f>IF(AND($K66=1,VLOOKUP($D66,Master_Karyawan!$A$4:$Y$9,22,FALSE())="Y"),MIN(L66+M66+N66,Asumsi_Pajak!$B$8),0)</f>
        <v>12000000</v>
      </c>
      <c r="W66" s="15">
        <f>ROUND(V66*Asumsi_Pajak!$B$9,0)</f>
        <v>120000</v>
      </c>
      <c r="X66" s="15">
        <f>IF(AND($K66=1,VLOOKUP($D66,Master_Karyawan!$A$4:$Y$9,23,FALSE())="Y"),L66+M66+N66,0)</f>
        <v>21750000</v>
      </c>
      <c r="Y66" s="15">
        <f>ROUND(X66*Asumsi_Pajak!$B$11,0)</f>
        <v>435000</v>
      </c>
      <c r="Z66" s="15">
        <f>IF(AND($K66=1,VLOOKUP($D66,Master_Karyawan!$A$4:$Y$9,23,FALSE())="Y"),MIN(L66+M66+N66,Asumsi_Pajak!$B$12),0)</f>
        <v>10547000</v>
      </c>
      <c r="AA66" s="15">
        <f>ROUND(Z66*Asumsi_Pajak!$B$13,0)</f>
        <v>105470</v>
      </c>
      <c r="AB66" s="15">
        <f>MIN(ROUND(T66*Asumsi_Pajak!$B$5,0),Asumsi_Pajak!$B$6)</f>
        <v>500000</v>
      </c>
      <c r="AC66" s="15">
        <f t="shared" si="13"/>
        <v>21132030</v>
      </c>
      <c r="AD66" s="15">
        <f>VLOOKUP(I66,Asumsi_Pajak!$E$5:$F$12,2,FALSE())</f>
        <v>72000000</v>
      </c>
      <c r="AE66" s="16">
        <f>IF(J66="A",VLOOKUP(T66,Asumsi_Pajak!$J$5:$K$48,2,TRUE()),IF(J66="B",VLOOKUP(T66,Asumsi_Pajak!$M$5:$N$44,2,TRUE()),VLOOKUP(T66,Asumsi_Pajak!$P$5:$Q$45,2,TRUE())))</f>
        <v>0.08</v>
      </c>
      <c r="AF66" s="15">
        <f t="shared" si="14"/>
        <v>291697500</v>
      </c>
      <c r="AG66" s="15">
        <f>AF66-MIN(ROUND(AF66*Asumsi_Pajak!$B$5,0),Asumsi_Pajak!$B$7)-SUMIFS($Y$4:$Y$75,$D$4:$D$75,$D66,$A$4:$A$75,$A66)-SUMIFS($AA$4:$AA$75,$D$4:$D$75,$D66,$A$4:$A$75,$A66)</f>
        <v>279211860</v>
      </c>
      <c r="AH66" s="15">
        <f t="shared" si="15"/>
        <v>207211000</v>
      </c>
      <c r="AI66" s="15">
        <f t="shared" si="16"/>
        <v>25081650</v>
      </c>
      <c r="AJ66" s="15">
        <f t="shared" si="17"/>
        <v>1773800</v>
      </c>
      <c r="AK66" s="15">
        <f>ROUND(V66*Asumsi_Pajak!$B$10,0)</f>
        <v>480000</v>
      </c>
      <c r="AL66" s="15">
        <f>ROUND(X66*Asumsi_Pajak!$B$14,0)</f>
        <v>804750</v>
      </c>
      <c r="AM66" s="15">
        <f>ROUND(Z66*Asumsi_Pajak!$B$15,0)</f>
        <v>210940</v>
      </c>
      <c r="AN66" s="15">
        <f>ROUND(X66*VLOOKUP($D66,Master_Karyawan!$A$4:$Y$9,24,FALSE()),0)</f>
        <v>117450</v>
      </c>
      <c r="AO66" s="15">
        <f>ROUND(X66*Asumsi_Pajak!$B$16,0)</f>
        <v>65250</v>
      </c>
      <c r="AP66" s="15">
        <f t="shared" si="18"/>
        <v>25624690</v>
      </c>
      <c r="AQ66" s="15">
        <f t="shared" si="19"/>
        <v>19738230</v>
      </c>
    </row>
    <row r="67" spans="1:43" ht="14.4" x14ac:dyDescent="0.3">
      <c r="A67" s="18">
        <v>2026</v>
      </c>
      <c r="B67" s="18">
        <v>11</v>
      </c>
      <c r="C67" s="19">
        <v>46327</v>
      </c>
      <c r="D67" s="18" t="s">
        <v>80</v>
      </c>
      <c r="E67" s="12" t="str">
        <f>VLOOKUP($D67,Master_Karyawan!$A$4:$Y$9,4,FALSE())</f>
        <v>Dewi Lestari</v>
      </c>
      <c r="F67" s="12" t="str">
        <f>VLOOKUP($D67,Master_Karyawan!$A$4:$Y$9,11,FALSE())</f>
        <v>Finance</v>
      </c>
      <c r="G67" s="12" t="str">
        <f>VLOOKUP($D67,Master_Karyawan!$A$4:$Y$9,12,FALSE())</f>
        <v>Finance Analyst</v>
      </c>
      <c r="H67" s="20">
        <f>VLOOKUP($D67,Master_Karyawan!$A$4:$Y$9,10,FALSE())</f>
        <v>45689</v>
      </c>
      <c r="I67" s="12" t="str">
        <f>VLOOKUP($D67,Master_Karyawan!$A$4:$Y$9,8,FALSE())</f>
        <v>TK/2</v>
      </c>
      <c r="J67" s="12" t="str">
        <f>VLOOKUP($D67,Master_Karyawan!$A$4:$Y$9,9,FALSE())</f>
        <v>B</v>
      </c>
      <c r="K67" s="12">
        <f t="shared" si="10"/>
        <v>1</v>
      </c>
      <c r="L67" s="15">
        <f>IF($K67=1,VLOOKUP($D67,Master_Karyawan!$A$4:$Y$9,19,FALSE()),0)</f>
        <v>14000000</v>
      </c>
      <c r="M67" s="15">
        <f>IF($K67=1,VLOOKUP($D67,Master_Karyawan!$A$4:$Y$9,20,FALSE()),0)</f>
        <v>2000000</v>
      </c>
      <c r="N67" s="15">
        <f>IF($K67=1,VLOOKUP($D67,Master_Karyawan!$A$4:$Y$9,21,FALSE()),0)</f>
        <v>650000</v>
      </c>
      <c r="O67" s="21">
        <v>471250</v>
      </c>
      <c r="P67" s="21">
        <v>0</v>
      </c>
      <c r="Q67" s="21">
        <v>0</v>
      </c>
      <c r="R67" s="21">
        <v>0</v>
      </c>
      <c r="S67" s="21">
        <v>0</v>
      </c>
      <c r="T67" s="15">
        <f t="shared" si="11"/>
        <v>17121250</v>
      </c>
      <c r="U67" s="15">
        <f t="shared" si="12"/>
        <v>17121250</v>
      </c>
      <c r="V67" s="15">
        <f>IF(AND($K67=1,VLOOKUP($D67,Master_Karyawan!$A$4:$Y$9,22,FALSE())="Y"),MIN(L67+M67+N67,Asumsi_Pajak!$B$8),0)</f>
        <v>12000000</v>
      </c>
      <c r="W67" s="15">
        <f>ROUND(V67*Asumsi_Pajak!$B$9,0)</f>
        <v>120000</v>
      </c>
      <c r="X67" s="15">
        <f>IF(AND($K67=1,VLOOKUP($D67,Master_Karyawan!$A$4:$Y$9,23,FALSE())="Y"),L67+M67+N67,0)</f>
        <v>16650000</v>
      </c>
      <c r="Y67" s="15">
        <f>ROUND(X67*Asumsi_Pajak!$B$11,0)</f>
        <v>333000</v>
      </c>
      <c r="Z67" s="15">
        <f>IF(AND($K67=1,VLOOKUP($D67,Master_Karyawan!$A$4:$Y$9,23,FALSE())="Y"),MIN(L67+M67+N67,Asumsi_Pajak!$B$12),0)</f>
        <v>10547000</v>
      </c>
      <c r="AA67" s="15">
        <f>ROUND(Z67*Asumsi_Pajak!$B$13,0)</f>
        <v>105470</v>
      </c>
      <c r="AB67" s="15">
        <f>MIN(ROUND(T67*Asumsi_Pajak!$B$5,0),Asumsi_Pajak!$B$6)</f>
        <v>500000</v>
      </c>
      <c r="AC67" s="15">
        <f t="shared" si="13"/>
        <v>16182780</v>
      </c>
      <c r="AD67" s="15">
        <f>VLOOKUP(I67,Asumsi_Pajak!$E$5:$F$12,2,FALSE())</f>
        <v>63000000</v>
      </c>
      <c r="AE67" s="16">
        <f>IF(J67="A",VLOOKUP(T67,Asumsi_Pajak!$J$5:$K$48,2,TRUE()),IF(J67="B",VLOOKUP(T67,Asumsi_Pajak!$M$5:$N$44,2,TRUE()),VLOOKUP(T67,Asumsi_Pajak!$P$5:$Q$45,2,TRUE())))</f>
        <v>7.0000000000000007E-2</v>
      </c>
      <c r="AF67" s="15">
        <f t="shared" si="14"/>
        <v>224608750</v>
      </c>
      <c r="AG67" s="15">
        <f>AF67-MIN(ROUND(AF67*Asumsi_Pajak!$B$5,0),Asumsi_Pajak!$B$7)-SUMIFS($Y$4:$Y$75,$D$4:$D$75,$D67,$A$4:$A$75,$A67)-SUMIFS($AA$4:$AA$75,$D$4:$D$75,$D67,$A$4:$A$75,$A67)</f>
        <v>213347110</v>
      </c>
      <c r="AH67" s="15">
        <f t="shared" si="15"/>
        <v>150347000</v>
      </c>
      <c r="AI67" s="15">
        <f t="shared" si="16"/>
        <v>16552050</v>
      </c>
      <c r="AJ67" s="15">
        <f t="shared" si="17"/>
        <v>1198488</v>
      </c>
      <c r="AK67" s="15">
        <f>ROUND(V67*Asumsi_Pajak!$B$10,0)</f>
        <v>480000</v>
      </c>
      <c r="AL67" s="15">
        <f>ROUND(X67*Asumsi_Pajak!$B$14,0)</f>
        <v>616050</v>
      </c>
      <c r="AM67" s="15">
        <f>ROUND(Z67*Asumsi_Pajak!$B$15,0)</f>
        <v>210940</v>
      </c>
      <c r="AN67" s="15">
        <f>ROUND(X67*VLOOKUP($D67,Master_Karyawan!$A$4:$Y$9,24,FALSE()),0)</f>
        <v>39960</v>
      </c>
      <c r="AO67" s="15">
        <f>ROUND(X67*Asumsi_Pajak!$B$16,0)</f>
        <v>49950</v>
      </c>
      <c r="AP67" s="15">
        <f t="shared" si="18"/>
        <v>19716638</v>
      </c>
      <c r="AQ67" s="15">
        <f t="shared" si="19"/>
        <v>15364292</v>
      </c>
    </row>
    <row r="68" spans="1:43" ht="14.4" x14ac:dyDescent="0.3">
      <c r="A68" s="18">
        <v>2026</v>
      </c>
      <c r="B68" s="18">
        <v>11</v>
      </c>
      <c r="C68" s="19">
        <v>46327</v>
      </c>
      <c r="D68" s="18" t="s">
        <v>92</v>
      </c>
      <c r="E68" s="12" t="str">
        <f>VLOOKUP($D68,Master_Karyawan!$A$4:$Y$9,4,FALSE())</f>
        <v>Rudi Hartono</v>
      </c>
      <c r="F68" s="12" t="str">
        <f>VLOOKUP($D68,Master_Karyawan!$A$4:$Y$9,11,FALSE())</f>
        <v>Operations</v>
      </c>
      <c r="G68" s="12" t="str">
        <f>VLOOKUP($D68,Master_Karyawan!$A$4:$Y$9,12,FALSE())</f>
        <v>Warehouse Lead</v>
      </c>
      <c r="H68" s="20">
        <f>VLOOKUP($D68,Master_Karyawan!$A$4:$Y$9,10,FALSE())</f>
        <v>44508</v>
      </c>
      <c r="I68" s="12" t="str">
        <f>VLOOKUP($D68,Master_Karyawan!$A$4:$Y$9,8,FALSE())</f>
        <v>K/0</v>
      </c>
      <c r="J68" s="12" t="str">
        <f>VLOOKUP($D68,Master_Karyawan!$A$4:$Y$9,9,FALSE())</f>
        <v>A</v>
      </c>
      <c r="K68" s="12">
        <f t="shared" ref="K68:K75" si="20">IF(DATE($A68,$B68,1)&gt;=DATE(YEAR($H68),MONTH($H68),1),1,0)</f>
        <v>1</v>
      </c>
      <c r="L68" s="15">
        <f>IF($K68=1,VLOOKUP($D68,Master_Karyawan!$A$4:$Y$9,19,FALSE()),0)</f>
        <v>7500000</v>
      </c>
      <c r="M68" s="15">
        <f>IF($K68=1,VLOOKUP($D68,Master_Karyawan!$A$4:$Y$9,20,FALSE()),0)</f>
        <v>1000000</v>
      </c>
      <c r="N68" s="15">
        <f>IF($K68=1,VLOOKUP($D68,Master_Karyawan!$A$4:$Y$9,21,FALSE()),0)</f>
        <v>400000</v>
      </c>
      <c r="O68" s="21">
        <v>520000</v>
      </c>
      <c r="P68" s="21">
        <v>0</v>
      </c>
      <c r="Q68" s="21">
        <v>0</v>
      </c>
      <c r="R68" s="21">
        <v>0</v>
      </c>
      <c r="S68" s="21">
        <v>100000</v>
      </c>
      <c r="T68" s="15">
        <f t="shared" ref="T68:T75" si="21">SUM(L68:Q68)</f>
        <v>9420000</v>
      </c>
      <c r="U68" s="15">
        <f t="shared" ref="U68:U75" si="22">T68+R68</f>
        <v>9420000</v>
      </c>
      <c r="V68" s="15">
        <f>IF(AND($K68=1,VLOOKUP($D68,Master_Karyawan!$A$4:$Y$9,22,FALSE())="Y"),MIN(L68+M68+N68,Asumsi_Pajak!$B$8),0)</f>
        <v>8900000</v>
      </c>
      <c r="W68" s="15">
        <f>ROUND(V68*Asumsi_Pajak!$B$9,0)</f>
        <v>89000</v>
      </c>
      <c r="X68" s="15">
        <f>IF(AND($K68=1,VLOOKUP($D68,Master_Karyawan!$A$4:$Y$9,23,FALSE())="Y"),L68+M68+N68,0)</f>
        <v>8900000</v>
      </c>
      <c r="Y68" s="15">
        <f>ROUND(X68*Asumsi_Pajak!$B$11,0)</f>
        <v>178000</v>
      </c>
      <c r="Z68" s="15">
        <f>IF(AND($K68=1,VLOOKUP($D68,Master_Karyawan!$A$4:$Y$9,23,FALSE())="Y"),MIN(L68+M68+N68,Asumsi_Pajak!$B$12),0)</f>
        <v>8900000</v>
      </c>
      <c r="AA68" s="15">
        <f>ROUND(Z68*Asumsi_Pajak!$B$13,0)</f>
        <v>89000</v>
      </c>
      <c r="AB68" s="15">
        <f>MIN(ROUND(T68*Asumsi_Pajak!$B$5,0),Asumsi_Pajak!$B$6)</f>
        <v>471000</v>
      </c>
      <c r="AC68" s="15">
        <f t="shared" ref="AC68:AC75" si="23">T68-AB68-Y68-AA68</f>
        <v>8682000</v>
      </c>
      <c r="AD68" s="15">
        <f>VLOOKUP(I68,Asumsi_Pajak!$E$5:$F$12,2,FALSE())</f>
        <v>58500000</v>
      </c>
      <c r="AE68" s="16">
        <f>IF(J68="A",VLOOKUP(T68,Asumsi_Pajak!$J$5:$K$48,2,TRUE()),IF(J68="B",VLOOKUP(T68,Asumsi_Pajak!$M$5:$N$44,2,TRUE()),VLOOKUP(T68,Asumsi_Pajak!$P$5:$Q$45,2,TRUE())))</f>
        <v>1.7500000000000002E-2</v>
      </c>
      <c r="AF68" s="15">
        <f t="shared" ref="AF68:AF75" si="24">SUMIFS($T$4:$T$75,$D$4:$D$75,$D68,$A$4:$A$75,$A68)</f>
        <v>121845000</v>
      </c>
      <c r="AG68" s="15">
        <f>AF68-MIN(ROUND(AF68*Asumsi_Pajak!$B$5,0),Asumsi_Pajak!$B$7)-SUMIFS($Y$4:$Y$75,$D$4:$D$75,$D68,$A$4:$A$75,$A68)-SUMIFS($AA$4:$AA$75,$D$4:$D$75,$D68,$A$4:$A$75,$A68)</f>
        <v>112641000</v>
      </c>
      <c r="AH68" s="15">
        <f t="shared" ref="AH68:AH75" si="25">MAX(0,ROUNDDOWN((AG68-AD68)/1000,0)*1000)</f>
        <v>54141000</v>
      </c>
      <c r="AI68" s="15">
        <f t="shared" ref="AI68:AI75" si="26">MAX(0,MIN(AH68,60000000)*5%+MAX(MIN(AH68,250000000)-60000000,0)*15%+MAX(MIN(AH68,500000000)-250000000,0)*25%+MAX(MIN(AH68,5000000000)-500000000,0)*30%+MAX(AH68-5000000000,0)*35%)</f>
        <v>2707050</v>
      </c>
      <c r="AJ68" s="15">
        <f t="shared" ref="AJ68:AJ75" si="27">IF(B68&lt;12,ROUND(T68*AE68,0),MAX(0,AI68-SUMIFS($AJ$4:$AJ$75,$D$4:$D$75,$D68,$A$4:$A$75,$A68,$B$4:$B$75,"&lt;12")))</f>
        <v>164850</v>
      </c>
      <c r="AK68" s="15">
        <f>ROUND(V68*Asumsi_Pajak!$B$10,0)</f>
        <v>356000</v>
      </c>
      <c r="AL68" s="15">
        <f>ROUND(X68*Asumsi_Pajak!$B$14,0)</f>
        <v>329300</v>
      </c>
      <c r="AM68" s="15">
        <f>ROUND(Z68*Asumsi_Pajak!$B$15,0)</f>
        <v>178000</v>
      </c>
      <c r="AN68" s="15">
        <f>ROUND(X68*VLOOKUP($D68,Master_Karyawan!$A$4:$Y$9,24,FALSE()),0)</f>
        <v>48060</v>
      </c>
      <c r="AO68" s="15">
        <f>ROUND(X68*Asumsi_Pajak!$B$16,0)</f>
        <v>26700</v>
      </c>
      <c r="AP68" s="15">
        <f t="shared" ref="AP68:AP75" si="28">U68+AJ68+AK68+AL68+AM68+AN68+AO68</f>
        <v>10522910</v>
      </c>
      <c r="AQ68" s="15">
        <f t="shared" ref="AQ68:AQ75" si="29">U68-W68-Y68-AA68-AJ68-S68</f>
        <v>8799150</v>
      </c>
    </row>
    <row r="69" spans="1:43" ht="14.4" x14ac:dyDescent="0.3">
      <c r="A69" s="18">
        <v>2026</v>
      </c>
      <c r="B69" s="18">
        <v>11</v>
      </c>
      <c r="C69" s="19">
        <v>46327</v>
      </c>
      <c r="D69" s="18" t="s">
        <v>104</v>
      </c>
      <c r="E69" s="12" t="str">
        <f>VLOOKUP($D69,Master_Karyawan!$A$4:$Y$9,4,FALSE())</f>
        <v>Maya Putri</v>
      </c>
      <c r="F69" s="12" t="str">
        <f>VLOOKUP($D69,Master_Karyawan!$A$4:$Y$9,11,FALSE())</f>
        <v>Marketing</v>
      </c>
      <c r="G69" s="12" t="str">
        <f>VLOOKUP($D69,Master_Karyawan!$A$4:$Y$9,12,FALSE())</f>
        <v>Marketing Specialist</v>
      </c>
      <c r="H69" s="20">
        <f>VLOOKUP($D69,Master_Karyawan!$A$4:$Y$9,10,FALSE())</f>
        <v>45537</v>
      </c>
      <c r="I69" s="12" t="str">
        <f>VLOOKUP($D69,Master_Karyawan!$A$4:$Y$9,8,FALSE())</f>
        <v>TK/1</v>
      </c>
      <c r="J69" s="12" t="str">
        <f>VLOOKUP($D69,Master_Karyawan!$A$4:$Y$9,9,FALSE())</f>
        <v>A</v>
      </c>
      <c r="K69" s="12">
        <f t="shared" si="20"/>
        <v>1</v>
      </c>
      <c r="L69" s="15">
        <f>IF($K69=1,VLOOKUP($D69,Master_Karyawan!$A$4:$Y$9,19,FALSE()),0)</f>
        <v>12500000</v>
      </c>
      <c r="M69" s="15">
        <f>IF($K69=1,VLOOKUP($D69,Master_Karyawan!$A$4:$Y$9,20,FALSE()),0)</f>
        <v>2000000</v>
      </c>
      <c r="N69" s="15">
        <f>IF($K69=1,VLOOKUP($D69,Master_Karyawan!$A$4:$Y$9,21,FALSE()),0)</f>
        <v>600000</v>
      </c>
      <c r="O69" s="21">
        <v>568750</v>
      </c>
      <c r="P69" s="21">
        <v>0</v>
      </c>
      <c r="Q69" s="21">
        <v>0</v>
      </c>
      <c r="R69" s="21">
        <v>0</v>
      </c>
      <c r="S69" s="21">
        <v>0</v>
      </c>
      <c r="T69" s="15">
        <f t="shared" si="21"/>
        <v>15668750</v>
      </c>
      <c r="U69" s="15">
        <f t="shared" si="22"/>
        <v>15668750</v>
      </c>
      <c r="V69" s="15">
        <f>IF(AND($K69=1,VLOOKUP($D69,Master_Karyawan!$A$4:$Y$9,22,FALSE())="Y"),MIN(L69+M69+N69,Asumsi_Pajak!$B$8),0)</f>
        <v>12000000</v>
      </c>
      <c r="W69" s="15">
        <f>ROUND(V69*Asumsi_Pajak!$B$9,0)</f>
        <v>120000</v>
      </c>
      <c r="X69" s="15">
        <f>IF(AND($K69=1,VLOOKUP($D69,Master_Karyawan!$A$4:$Y$9,23,FALSE())="Y"),L69+M69+N69,0)</f>
        <v>15100000</v>
      </c>
      <c r="Y69" s="15">
        <f>ROUND(X69*Asumsi_Pajak!$B$11,0)</f>
        <v>302000</v>
      </c>
      <c r="Z69" s="15">
        <f>IF(AND($K69=1,VLOOKUP($D69,Master_Karyawan!$A$4:$Y$9,23,FALSE())="Y"),MIN(L69+M69+N69,Asumsi_Pajak!$B$12),0)</f>
        <v>10547000</v>
      </c>
      <c r="AA69" s="15">
        <f>ROUND(Z69*Asumsi_Pajak!$B$13,0)</f>
        <v>105470</v>
      </c>
      <c r="AB69" s="15">
        <f>MIN(ROUND(T69*Asumsi_Pajak!$B$5,0),Asumsi_Pajak!$B$6)</f>
        <v>500000</v>
      </c>
      <c r="AC69" s="15">
        <f t="shared" si="23"/>
        <v>14761280</v>
      </c>
      <c r="AD69" s="15">
        <f>VLOOKUP(I69,Asumsi_Pajak!$E$5:$F$12,2,FALSE())</f>
        <v>58500000</v>
      </c>
      <c r="AE69" s="16">
        <f>IF(J69="A",VLOOKUP(T69,Asumsi_Pajak!$J$5:$K$48,2,TRUE()),IF(J69="B",VLOOKUP(T69,Asumsi_Pajak!$M$5:$N$44,2,TRUE()),VLOOKUP(T69,Asumsi_Pajak!$P$5:$Q$45,2,TRUE())))</f>
        <v>7.0000000000000007E-2</v>
      </c>
      <c r="AF69" s="15">
        <f t="shared" si="24"/>
        <v>205381250</v>
      </c>
      <c r="AG69" s="15">
        <f>AF69-MIN(ROUND(AF69*Asumsi_Pajak!$B$5,0),Asumsi_Pajak!$B$7)-SUMIFS($Y$4:$Y$75,$D$4:$D$75,$D69,$A$4:$A$75,$A69)-SUMIFS($AA$4:$AA$75,$D$4:$D$75,$D69,$A$4:$A$75,$A69)</f>
        <v>194491610</v>
      </c>
      <c r="AH69" s="15">
        <f t="shared" si="25"/>
        <v>135991000</v>
      </c>
      <c r="AI69" s="15">
        <f t="shared" si="26"/>
        <v>14398650</v>
      </c>
      <c r="AJ69" s="15">
        <f t="shared" si="27"/>
        <v>1096813</v>
      </c>
      <c r="AK69" s="15">
        <f>ROUND(V69*Asumsi_Pajak!$B$10,0)</f>
        <v>480000</v>
      </c>
      <c r="AL69" s="15">
        <f>ROUND(X69*Asumsi_Pajak!$B$14,0)</f>
        <v>558700</v>
      </c>
      <c r="AM69" s="15">
        <f>ROUND(Z69*Asumsi_Pajak!$B$15,0)</f>
        <v>210940</v>
      </c>
      <c r="AN69" s="15">
        <f>ROUND(X69*VLOOKUP($D69,Master_Karyawan!$A$4:$Y$9,24,FALSE()),0)</f>
        <v>36240</v>
      </c>
      <c r="AO69" s="15">
        <f>ROUND(X69*Asumsi_Pajak!$B$16,0)</f>
        <v>45300</v>
      </c>
      <c r="AP69" s="15">
        <f t="shared" si="28"/>
        <v>18096743</v>
      </c>
      <c r="AQ69" s="15">
        <f t="shared" si="29"/>
        <v>14044467</v>
      </c>
    </row>
    <row r="70" spans="1:43" ht="14.4" x14ac:dyDescent="0.3">
      <c r="A70" s="18">
        <v>2026</v>
      </c>
      <c r="B70" s="18">
        <v>12</v>
      </c>
      <c r="C70" s="19">
        <v>46357</v>
      </c>
      <c r="D70" s="18" t="s">
        <v>34</v>
      </c>
      <c r="E70" s="12" t="str">
        <f>VLOOKUP($D70,Master_Karyawan!$A$4:$Y$9,4,FALSE())</f>
        <v>Andi Pratama</v>
      </c>
      <c r="F70" s="12" t="str">
        <f>VLOOKUP($D70,Master_Karyawan!$A$4:$Y$9,11,FALSE())</f>
        <v>Sales</v>
      </c>
      <c r="G70" s="12" t="str">
        <f>VLOOKUP($D70,Master_Karyawan!$A$4:$Y$9,12,FALSE())</f>
        <v>Sales Executive</v>
      </c>
      <c r="H70" s="20">
        <f>VLOOKUP($D70,Master_Karyawan!$A$4:$Y$9,10,FALSE())</f>
        <v>45301</v>
      </c>
      <c r="I70" s="12" t="str">
        <f>VLOOKUP($D70,Master_Karyawan!$A$4:$Y$9,8,FALSE())</f>
        <v>TK/0</v>
      </c>
      <c r="J70" s="12" t="str">
        <f>VLOOKUP($D70,Master_Karyawan!$A$4:$Y$9,9,FALSE())</f>
        <v>A</v>
      </c>
      <c r="K70" s="12">
        <f t="shared" si="20"/>
        <v>1</v>
      </c>
      <c r="L70" s="15">
        <f>IF($K70=1,VLOOKUP($D70,Master_Karyawan!$A$4:$Y$9,19,FALSE()),0)</f>
        <v>8000000</v>
      </c>
      <c r="M70" s="15">
        <f>IF($K70=1,VLOOKUP($D70,Master_Karyawan!$A$4:$Y$9,20,FALSE()),0)</f>
        <v>1000000</v>
      </c>
      <c r="N70" s="15">
        <f>IF($K70=1,VLOOKUP($D70,Master_Karyawan!$A$4:$Y$9,21,FALSE()),0)</f>
        <v>500000</v>
      </c>
      <c r="O70" s="21">
        <v>150000</v>
      </c>
      <c r="P70" s="21">
        <v>2250000</v>
      </c>
      <c r="Q70" s="21">
        <v>0</v>
      </c>
      <c r="R70" s="21">
        <v>0</v>
      </c>
      <c r="S70" s="21">
        <v>0</v>
      </c>
      <c r="T70" s="15">
        <f t="shared" si="21"/>
        <v>11900000</v>
      </c>
      <c r="U70" s="15">
        <f t="shared" si="22"/>
        <v>11900000</v>
      </c>
      <c r="V70" s="15">
        <f>IF(AND($K70=1,VLOOKUP($D70,Master_Karyawan!$A$4:$Y$9,22,FALSE())="Y"),MIN(L70+M70+N70,Asumsi_Pajak!$B$8),0)</f>
        <v>9500000</v>
      </c>
      <c r="W70" s="15">
        <f>ROUND(V70*Asumsi_Pajak!$B$9,0)</f>
        <v>95000</v>
      </c>
      <c r="X70" s="15">
        <f>IF(AND($K70=1,VLOOKUP($D70,Master_Karyawan!$A$4:$Y$9,23,FALSE())="Y"),L70+M70+N70,0)</f>
        <v>9500000</v>
      </c>
      <c r="Y70" s="15">
        <f>ROUND(X70*Asumsi_Pajak!$B$11,0)</f>
        <v>190000</v>
      </c>
      <c r="Z70" s="15">
        <f>IF(AND($K70=1,VLOOKUP($D70,Master_Karyawan!$A$4:$Y$9,23,FALSE())="Y"),MIN(L70+M70+N70,Asumsi_Pajak!$B$12),0)</f>
        <v>9500000</v>
      </c>
      <c r="AA70" s="15">
        <f>ROUND(Z70*Asumsi_Pajak!$B$13,0)</f>
        <v>95000</v>
      </c>
      <c r="AB70" s="15">
        <f>MIN(ROUND(T70*Asumsi_Pajak!$B$5,0),Asumsi_Pajak!$B$6)</f>
        <v>500000</v>
      </c>
      <c r="AC70" s="15">
        <f t="shared" si="23"/>
        <v>11115000</v>
      </c>
      <c r="AD70" s="15">
        <f>VLOOKUP(I70,Asumsi_Pajak!$E$5:$F$12,2,FALSE())</f>
        <v>54000000</v>
      </c>
      <c r="AE70" s="16">
        <f>IF(J70="A",VLOOKUP(T70,Asumsi_Pajak!$J$5:$K$48,2,TRUE()),IF(J70="B",VLOOKUP(T70,Asumsi_Pajak!$M$5:$N$44,2,TRUE()),VLOOKUP(T70,Asumsi_Pajak!$P$5:$Q$45,2,TRUE())))</f>
        <v>0.04</v>
      </c>
      <c r="AF70" s="15">
        <f t="shared" si="24"/>
        <v>127625000</v>
      </c>
      <c r="AG70" s="15">
        <f>AF70-MIN(ROUND(AF70*Asumsi_Pajak!$B$5,0),Asumsi_Pajak!$B$7)-SUMIFS($Y$4:$Y$75,$D$4:$D$75,$D70,$A$4:$A$75,$A70)-SUMIFS($AA$4:$AA$75,$D$4:$D$75,$D70,$A$4:$A$75,$A70)</f>
        <v>118205000</v>
      </c>
      <c r="AH70" s="15">
        <f t="shared" si="25"/>
        <v>64205000</v>
      </c>
      <c r="AI70" s="15">
        <f t="shared" si="26"/>
        <v>3630750</v>
      </c>
      <c r="AJ70" s="15">
        <f t="shared" si="27"/>
        <v>280625</v>
      </c>
      <c r="AK70" s="15">
        <f>ROUND(V70*Asumsi_Pajak!$B$10,0)</f>
        <v>380000</v>
      </c>
      <c r="AL70" s="15">
        <f>ROUND(X70*Asumsi_Pajak!$B$14,0)</f>
        <v>351500</v>
      </c>
      <c r="AM70" s="15">
        <f>ROUND(Z70*Asumsi_Pajak!$B$15,0)</f>
        <v>190000</v>
      </c>
      <c r="AN70" s="15">
        <f>ROUND(X70*VLOOKUP($D70,Master_Karyawan!$A$4:$Y$9,24,FALSE()),0)</f>
        <v>22800</v>
      </c>
      <c r="AO70" s="15">
        <f>ROUND(X70*Asumsi_Pajak!$B$16,0)</f>
        <v>28500</v>
      </c>
      <c r="AP70" s="15">
        <f t="shared" si="28"/>
        <v>13153425</v>
      </c>
      <c r="AQ70" s="15">
        <f t="shared" si="29"/>
        <v>11239375</v>
      </c>
    </row>
    <row r="71" spans="1:43" ht="14.4" x14ac:dyDescent="0.3">
      <c r="A71" s="18">
        <v>2026</v>
      </c>
      <c r="B71" s="18">
        <v>12</v>
      </c>
      <c r="C71" s="19">
        <v>46357</v>
      </c>
      <c r="D71" s="18" t="s">
        <v>52</v>
      </c>
      <c r="E71" s="12" t="str">
        <f>VLOOKUP($D71,Master_Karyawan!$A$4:$Y$9,4,FALSE())</f>
        <v>Siti Nurhaliza</v>
      </c>
      <c r="F71" s="12" t="str">
        <f>VLOOKUP($D71,Master_Karyawan!$A$4:$Y$9,11,FALSE())</f>
        <v>HR</v>
      </c>
      <c r="G71" s="12" t="str">
        <f>VLOOKUP($D71,Master_Karyawan!$A$4:$Y$9,12,FALSE())</f>
        <v>HR Officer</v>
      </c>
      <c r="H71" s="20">
        <f>VLOOKUP($D71,Master_Karyawan!$A$4:$Y$9,10,FALSE())</f>
        <v>45108</v>
      </c>
      <c r="I71" s="12" t="str">
        <f>VLOOKUP($D71,Master_Karyawan!$A$4:$Y$9,8,FALSE())</f>
        <v>K/1</v>
      </c>
      <c r="J71" s="12" t="str">
        <f>VLOOKUP($D71,Master_Karyawan!$A$4:$Y$9,9,FALSE())</f>
        <v>B</v>
      </c>
      <c r="K71" s="12">
        <f t="shared" si="20"/>
        <v>1</v>
      </c>
      <c r="L71" s="15">
        <f>IF($K71=1,VLOOKUP($D71,Master_Karyawan!$A$4:$Y$9,19,FALSE()),0)</f>
        <v>10500000</v>
      </c>
      <c r="M71" s="15">
        <f>IF($K71=1,VLOOKUP($D71,Master_Karyawan!$A$4:$Y$9,20,FALSE()),0)</f>
        <v>1500000</v>
      </c>
      <c r="N71" s="15">
        <f>IF($K71=1,VLOOKUP($D71,Master_Karyawan!$A$4:$Y$9,21,FALSE()),0)</f>
        <v>500000</v>
      </c>
      <c r="O71" s="21">
        <v>172500</v>
      </c>
      <c r="P71" s="21">
        <v>3360000</v>
      </c>
      <c r="Q71" s="21">
        <v>0</v>
      </c>
      <c r="R71" s="21">
        <v>0</v>
      </c>
      <c r="S71" s="21">
        <v>0</v>
      </c>
      <c r="T71" s="15">
        <f t="shared" si="21"/>
        <v>16032500</v>
      </c>
      <c r="U71" s="15">
        <f t="shared" si="22"/>
        <v>16032500</v>
      </c>
      <c r="V71" s="15">
        <f>IF(AND($K71=1,VLOOKUP($D71,Master_Karyawan!$A$4:$Y$9,22,FALSE())="Y"),MIN(L71+M71+N71,Asumsi_Pajak!$B$8),0)</f>
        <v>12000000</v>
      </c>
      <c r="W71" s="15">
        <f>ROUND(V71*Asumsi_Pajak!$B$9,0)</f>
        <v>120000</v>
      </c>
      <c r="X71" s="15">
        <f>IF(AND($K71=1,VLOOKUP($D71,Master_Karyawan!$A$4:$Y$9,23,FALSE())="Y"),L71+M71+N71,0)</f>
        <v>12500000</v>
      </c>
      <c r="Y71" s="15">
        <f>ROUND(X71*Asumsi_Pajak!$B$11,0)</f>
        <v>250000</v>
      </c>
      <c r="Z71" s="15">
        <f>IF(AND($K71=1,VLOOKUP($D71,Master_Karyawan!$A$4:$Y$9,23,FALSE())="Y"),MIN(L71+M71+N71,Asumsi_Pajak!$B$12),0)</f>
        <v>10547000</v>
      </c>
      <c r="AA71" s="15">
        <f>ROUND(Z71*Asumsi_Pajak!$B$13,0)</f>
        <v>105470</v>
      </c>
      <c r="AB71" s="15">
        <f>MIN(ROUND(T71*Asumsi_Pajak!$B$5,0),Asumsi_Pajak!$B$6)</f>
        <v>500000</v>
      </c>
      <c r="AC71" s="15">
        <f t="shared" si="23"/>
        <v>15177030</v>
      </c>
      <c r="AD71" s="15">
        <f>VLOOKUP(I71,Asumsi_Pajak!$E$5:$F$12,2,FALSE())</f>
        <v>63000000</v>
      </c>
      <c r="AE71" s="16">
        <f>IF(J71="A",VLOOKUP(T71,Asumsi_Pajak!$J$5:$K$48,2,TRUE()),IF(J71="B",VLOOKUP(T71,Asumsi_Pajak!$M$5:$N$44,2,TRUE()),VLOOKUP(T71,Asumsi_Pajak!$P$5:$Q$45,2,TRUE())))</f>
        <v>0.06</v>
      </c>
      <c r="AF71" s="15">
        <f t="shared" si="24"/>
        <v>168016246</v>
      </c>
      <c r="AG71" s="15">
        <f>AF71-MIN(ROUND(AF71*Asumsi_Pajak!$B$5,0),Asumsi_Pajak!$B$7)-SUMIFS($Y$4:$Y$75,$D$4:$D$75,$D71,$A$4:$A$75,$A71)-SUMIFS($AA$4:$AA$75,$D$4:$D$75,$D71,$A$4:$A$75,$A71)</f>
        <v>157750606</v>
      </c>
      <c r="AH71" s="15">
        <f t="shared" si="25"/>
        <v>94750000</v>
      </c>
      <c r="AI71" s="15">
        <f t="shared" si="26"/>
        <v>8212500</v>
      </c>
      <c r="AJ71" s="15">
        <f t="shared" si="27"/>
        <v>1243775</v>
      </c>
      <c r="AK71" s="15">
        <f>ROUND(V71*Asumsi_Pajak!$B$10,0)</f>
        <v>480000</v>
      </c>
      <c r="AL71" s="15">
        <f>ROUND(X71*Asumsi_Pajak!$B$14,0)</f>
        <v>462500</v>
      </c>
      <c r="AM71" s="15">
        <f>ROUND(Z71*Asumsi_Pajak!$B$15,0)</f>
        <v>210940</v>
      </c>
      <c r="AN71" s="15">
        <f>ROUND(X71*VLOOKUP($D71,Master_Karyawan!$A$4:$Y$9,24,FALSE()),0)</f>
        <v>30000</v>
      </c>
      <c r="AO71" s="15">
        <f>ROUND(X71*Asumsi_Pajak!$B$16,0)</f>
        <v>37500</v>
      </c>
      <c r="AP71" s="15">
        <f t="shared" si="28"/>
        <v>18497215</v>
      </c>
      <c r="AQ71" s="15">
        <f t="shared" si="29"/>
        <v>14313255</v>
      </c>
    </row>
    <row r="72" spans="1:43" ht="14.4" x14ac:dyDescent="0.3">
      <c r="A72" s="18">
        <v>2026</v>
      </c>
      <c r="B72" s="18">
        <v>12</v>
      </c>
      <c r="C72" s="19">
        <v>46357</v>
      </c>
      <c r="D72" s="18" t="s">
        <v>67</v>
      </c>
      <c r="E72" s="12" t="str">
        <f>VLOOKUP($D72,Master_Karyawan!$A$4:$Y$9,4,FALSE())</f>
        <v>Budi Santoso</v>
      </c>
      <c r="F72" s="12" t="str">
        <f>VLOOKUP($D72,Master_Karyawan!$A$4:$Y$9,11,FALSE())</f>
        <v>IT</v>
      </c>
      <c r="G72" s="12" t="str">
        <f>VLOOKUP($D72,Master_Karyawan!$A$4:$Y$9,12,FALSE())</f>
        <v>IT Supervisor</v>
      </c>
      <c r="H72" s="20">
        <f>VLOOKUP($D72,Master_Karyawan!$A$4:$Y$9,10,FALSE())</f>
        <v>44697</v>
      </c>
      <c r="I72" s="12" t="str">
        <f>VLOOKUP($D72,Master_Karyawan!$A$4:$Y$9,8,FALSE())</f>
        <v>K/3</v>
      </c>
      <c r="J72" s="12" t="str">
        <f>VLOOKUP($D72,Master_Karyawan!$A$4:$Y$9,9,FALSE())</f>
        <v>C</v>
      </c>
      <c r="K72" s="12">
        <f t="shared" si="20"/>
        <v>1</v>
      </c>
      <c r="L72" s="15">
        <f>IF($K72=1,VLOOKUP($D72,Master_Karyawan!$A$4:$Y$9,19,FALSE()),0)</f>
        <v>18000000</v>
      </c>
      <c r="M72" s="15">
        <f>IF($K72=1,VLOOKUP($D72,Master_Karyawan!$A$4:$Y$9,20,FALSE()),0)</f>
        <v>3000000</v>
      </c>
      <c r="N72" s="15">
        <f>IF($K72=1,VLOOKUP($D72,Master_Karyawan!$A$4:$Y$9,21,FALSE()),0)</f>
        <v>750000</v>
      </c>
      <c r="O72" s="21">
        <v>195000</v>
      </c>
      <c r="P72" s="21">
        <v>6510000</v>
      </c>
      <c r="Q72" s="21">
        <v>0</v>
      </c>
      <c r="R72" s="21">
        <v>0</v>
      </c>
      <c r="S72" s="21">
        <v>0</v>
      </c>
      <c r="T72" s="15">
        <f t="shared" si="21"/>
        <v>28455000</v>
      </c>
      <c r="U72" s="15">
        <f t="shared" si="22"/>
        <v>28455000</v>
      </c>
      <c r="V72" s="15">
        <f>IF(AND($K72=1,VLOOKUP($D72,Master_Karyawan!$A$4:$Y$9,22,FALSE())="Y"),MIN(L72+M72+N72,Asumsi_Pajak!$B$8),0)</f>
        <v>12000000</v>
      </c>
      <c r="W72" s="15">
        <f>ROUND(V72*Asumsi_Pajak!$B$9,0)</f>
        <v>120000</v>
      </c>
      <c r="X72" s="15">
        <f>IF(AND($K72=1,VLOOKUP($D72,Master_Karyawan!$A$4:$Y$9,23,FALSE())="Y"),L72+M72+N72,0)</f>
        <v>21750000</v>
      </c>
      <c r="Y72" s="15">
        <f>ROUND(X72*Asumsi_Pajak!$B$11,0)</f>
        <v>435000</v>
      </c>
      <c r="Z72" s="15">
        <f>IF(AND($K72=1,VLOOKUP($D72,Master_Karyawan!$A$4:$Y$9,23,FALSE())="Y"),MIN(L72+M72+N72,Asumsi_Pajak!$B$12),0)</f>
        <v>10547000</v>
      </c>
      <c r="AA72" s="15">
        <f>ROUND(Z72*Asumsi_Pajak!$B$13,0)</f>
        <v>105470</v>
      </c>
      <c r="AB72" s="15">
        <f>MIN(ROUND(T72*Asumsi_Pajak!$B$5,0),Asumsi_Pajak!$B$6)</f>
        <v>500000</v>
      </c>
      <c r="AC72" s="15">
        <f t="shared" si="23"/>
        <v>27414530</v>
      </c>
      <c r="AD72" s="15">
        <f>VLOOKUP(I72,Asumsi_Pajak!$E$5:$F$12,2,FALSE())</f>
        <v>72000000</v>
      </c>
      <c r="AE72" s="16">
        <f>IF(J72="A",VLOOKUP(T72,Asumsi_Pajak!$J$5:$K$48,2,TRUE()),IF(J72="B",VLOOKUP(T72,Asumsi_Pajak!$M$5:$N$44,2,TRUE()),VLOOKUP(T72,Asumsi_Pajak!$P$5:$Q$45,2,TRUE())))</f>
        <v>0.11</v>
      </c>
      <c r="AF72" s="15">
        <f t="shared" si="24"/>
        <v>291697500</v>
      </c>
      <c r="AG72" s="15">
        <f>AF72-MIN(ROUND(AF72*Asumsi_Pajak!$B$5,0),Asumsi_Pajak!$B$7)-SUMIFS($Y$4:$Y$75,$D$4:$D$75,$D72,$A$4:$A$75,$A72)-SUMIFS($AA$4:$AA$75,$D$4:$D$75,$D72,$A$4:$A$75,$A72)</f>
        <v>279211860</v>
      </c>
      <c r="AH72" s="15">
        <f t="shared" si="25"/>
        <v>207211000</v>
      </c>
      <c r="AI72" s="15">
        <f t="shared" si="26"/>
        <v>25081650</v>
      </c>
      <c r="AJ72" s="15">
        <f t="shared" si="27"/>
        <v>516250</v>
      </c>
      <c r="AK72" s="15">
        <f>ROUND(V72*Asumsi_Pajak!$B$10,0)</f>
        <v>480000</v>
      </c>
      <c r="AL72" s="15">
        <f>ROUND(X72*Asumsi_Pajak!$B$14,0)</f>
        <v>804750</v>
      </c>
      <c r="AM72" s="15">
        <f>ROUND(Z72*Asumsi_Pajak!$B$15,0)</f>
        <v>210940</v>
      </c>
      <c r="AN72" s="15">
        <f>ROUND(X72*VLOOKUP($D72,Master_Karyawan!$A$4:$Y$9,24,FALSE()),0)</f>
        <v>117450</v>
      </c>
      <c r="AO72" s="15">
        <f>ROUND(X72*Asumsi_Pajak!$B$16,0)</f>
        <v>65250</v>
      </c>
      <c r="AP72" s="15">
        <f t="shared" si="28"/>
        <v>30649640</v>
      </c>
      <c r="AQ72" s="15">
        <f t="shared" si="29"/>
        <v>27278280</v>
      </c>
    </row>
    <row r="73" spans="1:43" ht="14.4" x14ac:dyDescent="0.3">
      <c r="A73" s="18">
        <v>2026</v>
      </c>
      <c r="B73" s="18">
        <v>12</v>
      </c>
      <c r="C73" s="19">
        <v>46357</v>
      </c>
      <c r="D73" s="18" t="s">
        <v>80</v>
      </c>
      <c r="E73" s="12" t="str">
        <f>VLOOKUP($D73,Master_Karyawan!$A$4:$Y$9,4,FALSE())</f>
        <v>Dewi Lestari</v>
      </c>
      <c r="F73" s="12" t="str">
        <f>VLOOKUP($D73,Master_Karyawan!$A$4:$Y$9,11,FALSE())</f>
        <v>Finance</v>
      </c>
      <c r="G73" s="12" t="str">
        <f>VLOOKUP($D73,Master_Karyawan!$A$4:$Y$9,12,FALSE())</f>
        <v>Finance Analyst</v>
      </c>
      <c r="H73" s="20">
        <f>VLOOKUP($D73,Master_Karyawan!$A$4:$Y$9,10,FALSE())</f>
        <v>45689</v>
      </c>
      <c r="I73" s="12" t="str">
        <f>VLOOKUP($D73,Master_Karyawan!$A$4:$Y$9,8,FALSE())</f>
        <v>TK/2</v>
      </c>
      <c r="J73" s="12" t="str">
        <f>VLOOKUP($D73,Master_Karyawan!$A$4:$Y$9,9,FALSE())</f>
        <v>B</v>
      </c>
      <c r="K73" s="12">
        <f t="shared" si="20"/>
        <v>1</v>
      </c>
      <c r="L73" s="15">
        <f>IF($K73=1,VLOOKUP($D73,Master_Karyawan!$A$4:$Y$9,19,FALSE()),0)</f>
        <v>14000000</v>
      </c>
      <c r="M73" s="15">
        <f>IF($K73=1,VLOOKUP($D73,Master_Karyawan!$A$4:$Y$9,20,FALSE()),0)</f>
        <v>2000000</v>
      </c>
      <c r="N73" s="15">
        <f>IF($K73=1,VLOOKUP($D73,Master_Karyawan!$A$4:$Y$9,21,FALSE()),0)</f>
        <v>650000</v>
      </c>
      <c r="O73" s="21">
        <v>217500</v>
      </c>
      <c r="P73" s="21">
        <v>5440000</v>
      </c>
      <c r="Q73" s="21">
        <v>0</v>
      </c>
      <c r="R73" s="21">
        <v>0</v>
      </c>
      <c r="S73" s="21">
        <v>0</v>
      </c>
      <c r="T73" s="15">
        <f t="shared" si="21"/>
        <v>22307500</v>
      </c>
      <c r="U73" s="15">
        <f t="shared" si="22"/>
        <v>22307500</v>
      </c>
      <c r="V73" s="15">
        <f>IF(AND($K73=1,VLOOKUP($D73,Master_Karyawan!$A$4:$Y$9,22,FALSE())="Y"),MIN(L73+M73+N73,Asumsi_Pajak!$B$8),0)</f>
        <v>12000000</v>
      </c>
      <c r="W73" s="15">
        <f>ROUND(V73*Asumsi_Pajak!$B$9,0)</f>
        <v>120000</v>
      </c>
      <c r="X73" s="15">
        <f>IF(AND($K73=1,VLOOKUP($D73,Master_Karyawan!$A$4:$Y$9,23,FALSE())="Y"),L73+M73+N73,0)</f>
        <v>16650000</v>
      </c>
      <c r="Y73" s="15">
        <f>ROUND(X73*Asumsi_Pajak!$B$11,0)</f>
        <v>333000</v>
      </c>
      <c r="Z73" s="15">
        <f>IF(AND($K73=1,VLOOKUP($D73,Master_Karyawan!$A$4:$Y$9,23,FALSE())="Y"),MIN(L73+M73+N73,Asumsi_Pajak!$B$12),0)</f>
        <v>10547000</v>
      </c>
      <c r="AA73" s="15">
        <f>ROUND(Z73*Asumsi_Pajak!$B$13,0)</f>
        <v>105470</v>
      </c>
      <c r="AB73" s="15">
        <f>MIN(ROUND(T73*Asumsi_Pajak!$B$5,0),Asumsi_Pajak!$B$6)</f>
        <v>500000</v>
      </c>
      <c r="AC73" s="15">
        <f t="shared" si="23"/>
        <v>21369030</v>
      </c>
      <c r="AD73" s="15">
        <f>VLOOKUP(I73,Asumsi_Pajak!$E$5:$F$12,2,FALSE())</f>
        <v>63000000</v>
      </c>
      <c r="AE73" s="16">
        <f>IF(J73="A",VLOOKUP(T73,Asumsi_Pajak!$J$5:$K$48,2,TRUE()),IF(J73="B",VLOOKUP(T73,Asumsi_Pajak!$M$5:$N$44,2,TRUE()),VLOOKUP(T73,Asumsi_Pajak!$P$5:$Q$45,2,TRUE())))</f>
        <v>0.09</v>
      </c>
      <c r="AF73" s="15">
        <f t="shared" si="24"/>
        <v>224608750</v>
      </c>
      <c r="AG73" s="15">
        <f>AF73-MIN(ROUND(AF73*Asumsi_Pajak!$B$5,0),Asumsi_Pajak!$B$7)-SUMIFS($Y$4:$Y$75,$D$4:$D$75,$D73,$A$4:$A$75,$A73)-SUMIFS($AA$4:$AA$75,$D$4:$D$75,$D73,$A$4:$A$75,$A73)</f>
        <v>213347110</v>
      </c>
      <c r="AH73" s="15">
        <f t="shared" si="25"/>
        <v>150347000</v>
      </c>
      <c r="AI73" s="15">
        <f t="shared" si="26"/>
        <v>16552050</v>
      </c>
      <c r="AJ73" s="15">
        <f t="shared" si="27"/>
        <v>371211</v>
      </c>
      <c r="AK73" s="15">
        <f>ROUND(V73*Asumsi_Pajak!$B$10,0)</f>
        <v>480000</v>
      </c>
      <c r="AL73" s="15">
        <f>ROUND(X73*Asumsi_Pajak!$B$14,0)</f>
        <v>616050</v>
      </c>
      <c r="AM73" s="15">
        <f>ROUND(Z73*Asumsi_Pajak!$B$15,0)</f>
        <v>210940</v>
      </c>
      <c r="AN73" s="15">
        <f>ROUND(X73*VLOOKUP($D73,Master_Karyawan!$A$4:$Y$9,24,FALSE()),0)</f>
        <v>39960</v>
      </c>
      <c r="AO73" s="15">
        <f>ROUND(X73*Asumsi_Pajak!$B$16,0)</f>
        <v>49950</v>
      </c>
      <c r="AP73" s="15">
        <f t="shared" si="28"/>
        <v>24075611</v>
      </c>
      <c r="AQ73" s="15">
        <f t="shared" si="29"/>
        <v>21377819</v>
      </c>
    </row>
    <row r="74" spans="1:43" ht="14.4" x14ac:dyDescent="0.3">
      <c r="A74" s="18">
        <v>2026</v>
      </c>
      <c r="B74" s="18">
        <v>12</v>
      </c>
      <c r="C74" s="19">
        <v>46357</v>
      </c>
      <c r="D74" s="18" t="s">
        <v>92</v>
      </c>
      <c r="E74" s="12" t="str">
        <f>VLOOKUP($D74,Master_Karyawan!$A$4:$Y$9,4,FALSE())</f>
        <v>Rudi Hartono</v>
      </c>
      <c r="F74" s="12" t="str">
        <f>VLOOKUP($D74,Master_Karyawan!$A$4:$Y$9,11,FALSE())</f>
        <v>Operations</v>
      </c>
      <c r="G74" s="12" t="str">
        <f>VLOOKUP($D74,Master_Karyawan!$A$4:$Y$9,12,FALSE())</f>
        <v>Warehouse Lead</v>
      </c>
      <c r="H74" s="20">
        <f>VLOOKUP($D74,Master_Karyawan!$A$4:$Y$9,10,FALSE())</f>
        <v>44508</v>
      </c>
      <c r="I74" s="12" t="str">
        <f>VLOOKUP($D74,Master_Karyawan!$A$4:$Y$9,8,FALSE())</f>
        <v>K/0</v>
      </c>
      <c r="J74" s="12" t="str">
        <f>VLOOKUP($D74,Master_Karyawan!$A$4:$Y$9,9,FALSE())</f>
        <v>A</v>
      </c>
      <c r="K74" s="12">
        <f t="shared" si="20"/>
        <v>1</v>
      </c>
      <c r="L74" s="15">
        <f>IF($K74=1,VLOOKUP($D74,Master_Karyawan!$A$4:$Y$9,19,FALSE()),0)</f>
        <v>7500000</v>
      </c>
      <c r="M74" s="15">
        <f>IF($K74=1,VLOOKUP($D74,Master_Karyawan!$A$4:$Y$9,20,FALSE()),0)</f>
        <v>1000000</v>
      </c>
      <c r="N74" s="15">
        <f>IF($K74=1,VLOOKUP($D74,Master_Karyawan!$A$4:$Y$9,21,FALSE()),0)</f>
        <v>400000</v>
      </c>
      <c r="O74" s="21">
        <v>240000</v>
      </c>
      <c r="P74" s="21">
        <v>3145000</v>
      </c>
      <c r="Q74" s="21">
        <v>0</v>
      </c>
      <c r="R74" s="21">
        <v>0</v>
      </c>
      <c r="S74" s="21">
        <v>0</v>
      </c>
      <c r="T74" s="15">
        <f t="shared" si="21"/>
        <v>12285000</v>
      </c>
      <c r="U74" s="15">
        <f t="shared" si="22"/>
        <v>12285000</v>
      </c>
      <c r="V74" s="15">
        <f>IF(AND($K74=1,VLOOKUP($D74,Master_Karyawan!$A$4:$Y$9,22,FALSE())="Y"),MIN(L74+M74+N74,Asumsi_Pajak!$B$8),0)</f>
        <v>8900000</v>
      </c>
      <c r="W74" s="15">
        <f>ROUND(V74*Asumsi_Pajak!$B$9,0)</f>
        <v>89000</v>
      </c>
      <c r="X74" s="15">
        <f>IF(AND($K74=1,VLOOKUP($D74,Master_Karyawan!$A$4:$Y$9,23,FALSE())="Y"),L74+M74+N74,0)</f>
        <v>8900000</v>
      </c>
      <c r="Y74" s="15">
        <f>ROUND(X74*Asumsi_Pajak!$B$11,0)</f>
        <v>178000</v>
      </c>
      <c r="Z74" s="15">
        <f>IF(AND($K74=1,VLOOKUP($D74,Master_Karyawan!$A$4:$Y$9,23,FALSE())="Y"),MIN(L74+M74+N74,Asumsi_Pajak!$B$12),0)</f>
        <v>8900000</v>
      </c>
      <c r="AA74" s="15">
        <f>ROUND(Z74*Asumsi_Pajak!$B$13,0)</f>
        <v>89000</v>
      </c>
      <c r="AB74" s="15">
        <f>MIN(ROUND(T74*Asumsi_Pajak!$B$5,0),Asumsi_Pajak!$B$6)</f>
        <v>500000</v>
      </c>
      <c r="AC74" s="15">
        <f t="shared" si="23"/>
        <v>11518000</v>
      </c>
      <c r="AD74" s="15">
        <f>VLOOKUP(I74,Asumsi_Pajak!$E$5:$F$12,2,FALSE())</f>
        <v>58500000</v>
      </c>
      <c r="AE74" s="16">
        <f>IF(J74="A",VLOOKUP(T74,Asumsi_Pajak!$J$5:$K$48,2,TRUE()),IF(J74="B",VLOOKUP(T74,Asumsi_Pajak!$M$5:$N$44,2,TRUE()),VLOOKUP(T74,Asumsi_Pajak!$P$5:$Q$45,2,TRUE())))</f>
        <v>0.04</v>
      </c>
      <c r="AF74" s="15">
        <f t="shared" si="24"/>
        <v>121845000</v>
      </c>
      <c r="AG74" s="15">
        <f>AF74-MIN(ROUND(AF74*Asumsi_Pajak!$B$5,0),Asumsi_Pajak!$B$7)-SUMIFS($Y$4:$Y$75,$D$4:$D$75,$D74,$A$4:$A$75,$A74)-SUMIFS($AA$4:$AA$75,$D$4:$D$75,$D74,$A$4:$A$75,$A74)</f>
        <v>112641000</v>
      </c>
      <c r="AH74" s="15">
        <f t="shared" si="25"/>
        <v>54141000</v>
      </c>
      <c r="AI74" s="15">
        <f t="shared" si="26"/>
        <v>2707050</v>
      </c>
      <c r="AJ74" s="15">
        <f t="shared" si="27"/>
        <v>0</v>
      </c>
      <c r="AK74" s="15">
        <f>ROUND(V74*Asumsi_Pajak!$B$10,0)</f>
        <v>356000</v>
      </c>
      <c r="AL74" s="15">
        <f>ROUND(X74*Asumsi_Pajak!$B$14,0)</f>
        <v>329300</v>
      </c>
      <c r="AM74" s="15">
        <f>ROUND(Z74*Asumsi_Pajak!$B$15,0)</f>
        <v>178000</v>
      </c>
      <c r="AN74" s="15">
        <f>ROUND(X74*VLOOKUP($D74,Master_Karyawan!$A$4:$Y$9,24,FALSE()),0)</f>
        <v>48060</v>
      </c>
      <c r="AO74" s="15">
        <f>ROUND(X74*Asumsi_Pajak!$B$16,0)</f>
        <v>26700</v>
      </c>
      <c r="AP74" s="15">
        <f t="shared" si="28"/>
        <v>13223060</v>
      </c>
      <c r="AQ74" s="15">
        <f t="shared" si="29"/>
        <v>11929000</v>
      </c>
    </row>
    <row r="75" spans="1:43" ht="14.4" x14ac:dyDescent="0.3">
      <c r="A75" s="18">
        <v>2026</v>
      </c>
      <c r="B75" s="18">
        <v>12</v>
      </c>
      <c r="C75" s="19">
        <v>46357</v>
      </c>
      <c r="D75" s="18" t="s">
        <v>104</v>
      </c>
      <c r="E75" s="12" t="str">
        <f>VLOOKUP($D75,Master_Karyawan!$A$4:$Y$9,4,FALSE())</f>
        <v>Maya Putri</v>
      </c>
      <c r="F75" s="12" t="str">
        <f>VLOOKUP($D75,Master_Karyawan!$A$4:$Y$9,11,FALSE())</f>
        <v>Marketing</v>
      </c>
      <c r="G75" s="12" t="str">
        <f>VLOOKUP($D75,Master_Karyawan!$A$4:$Y$9,12,FALSE())</f>
        <v>Marketing Specialist</v>
      </c>
      <c r="H75" s="20">
        <f>VLOOKUP($D75,Master_Karyawan!$A$4:$Y$9,10,FALSE())</f>
        <v>45537</v>
      </c>
      <c r="I75" s="12" t="str">
        <f>VLOOKUP($D75,Master_Karyawan!$A$4:$Y$9,8,FALSE())</f>
        <v>TK/1</v>
      </c>
      <c r="J75" s="12" t="str">
        <f>VLOOKUP($D75,Master_Karyawan!$A$4:$Y$9,9,FALSE())</f>
        <v>A</v>
      </c>
      <c r="K75" s="12">
        <f t="shared" si="20"/>
        <v>1</v>
      </c>
      <c r="L75" s="15">
        <f>IF($K75=1,VLOOKUP($D75,Master_Karyawan!$A$4:$Y$9,19,FALSE()),0)</f>
        <v>12500000</v>
      </c>
      <c r="M75" s="15">
        <f>IF($K75=1,VLOOKUP($D75,Master_Karyawan!$A$4:$Y$9,20,FALSE()),0)</f>
        <v>2000000</v>
      </c>
      <c r="N75" s="15">
        <f>IF($K75=1,VLOOKUP($D75,Master_Karyawan!$A$4:$Y$9,21,FALSE()),0)</f>
        <v>600000</v>
      </c>
      <c r="O75" s="21">
        <v>262500</v>
      </c>
      <c r="P75" s="21">
        <v>5800000</v>
      </c>
      <c r="Q75" s="21">
        <v>0</v>
      </c>
      <c r="R75" s="21">
        <v>0</v>
      </c>
      <c r="S75" s="21">
        <v>0</v>
      </c>
      <c r="T75" s="15">
        <f t="shared" si="21"/>
        <v>21162500</v>
      </c>
      <c r="U75" s="15">
        <f t="shared" si="22"/>
        <v>21162500</v>
      </c>
      <c r="V75" s="15">
        <f>IF(AND($K75=1,VLOOKUP($D75,Master_Karyawan!$A$4:$Y$9,22,FALSE())="Y"),MIN(L75+M75+N75,Asumsi_Pajak!$B$8),0)</f>
        <v>12000000</v>
      </c>
      <c r="W75" s="15">
        <f>ROUND(V75*Asumsi_Pajak!$B$9,0)</f>
        <v>120000</v>
      </c>
      <c r="X75" s="15">
        <f>IF(AND($K75=1,VLOOKUP($D75,Master_Karyawan!$A$4:$Y$9,23,FALSE())="Y"),L75+M75+N75,0)</f>
        <v>15100000</v>
      </c>
      <c r="Y75" s="15">
        <f>ROUND(X75*Asumsi_Pajak!$B$11,0)</f>
        <v>302000</v>
      </c>
      <c r="Z75" s="15">
        <f>IF(AND($K75=1,VLOOKUP($D75,Master_Karyawan!$A$4:$Y$9,23,FALSE())="Y"),MIN(L75+M75+N75,Asumsi_Pajak!$B$12),0)</f>
        <v>10547000</v>
      </c>
      <c r="AA75" s="15">
        <f>ROUND(Z75*Asumsi_Pajak!$B$13,0)</f>
        <v>105470</v>
      </c>
      <c r="AB75" s="15">
        <f>MIN(ROUND(T75*Asumsi_Pajak!$B$5,0),Asumsi_Pajak!$B$6)</f>
        <v>500000</v>
      </c>
      <c r="AC75" s="15">
        <f t="shared" si="23"/>
        <v>20255030</v>
      </c>
      <c r="AD75" s="15">
        <f>VLOOKUP(I75,Asumsi_Pajak!$E$5:$F$12,2,FALSE())</f>
        <v>58500000</v>
      </c>
      <c r="AE75" s="16">
        <f>IF(J75="A",VLOOKUP(T75,Asumsi_Pajak!$J$5:$K$48,2,TRUE()),IF(J75="B",VLOOKUP(T75,Asumsi_Pajak!$M$5:$N$44,2,TRUE()),VLOOKUP(T75,Asumsi_Pajak!$P$5:$Q$45,2,TRUE())))</f>
        <v>0.09</v>
      </c>
      <c r="AF75" s="15">
        <f t="shared" si="24"/>
        <v>205381250</v>
      </c>
      <c r="AG75" s="15">
        <f>AF75-MIN(ROUND(AF75*Asumsi_Pajak!$B$5,0),Asumsi_Pajak!$B$7)-SUMIFS($Y$4:$Y$75,$D$4:$D$75,$D75,$A$4:$A$75,$A75)-SUMIFS($AA$4:$AA$75,$D$4:$D$75,$D75,$A$4:$A$75,$A75)</f>
        <v>194491610</v>
      </c>
      <c r="AH75" s="15">
        <f t="shared" si="25"/>
        <v>135991000</v>
      </c>
      <c r="AI75" s="15">
        <f t="shared" si="26"/>
        <v>14398650</v>
      </c>
      <c r="AJ75" s="15">
        <f t="shared" si="27"/>
        <v>118086</v>
      </c>
      <c r="AK75" s="15">
        <f>ROUND(V75*Asumsi_Pajak!$B$10,0)</f>
        <v>480000</v>
      </c>
      <c r="AL75" s="15">
        <f>ROUND(X75*Asumsi_Pajak!$B$14,0)</f>
        <v>558700</v>
      </c>
      <c r="AM75" s="15">
        <f>ROUND(Z75*Asumsi_Pajak!$B$15,0)</f>
        <v>210940</v>
      </c>
      <c r="AN75" s="15">
        <f>ROUND(X75*VLOOKUP($D75,Master_Karyawan!$A$4:$Y$9,24,FALSE()),0)</f>
        <v>36240</v>
      </c>
      <c r="AO75" s="15">
        <f>ROUND(X75*Asumsi_Pajak!$B$16,0)</f>
        <v>45300</v>
      </c>
      <c r="AP75" s="15">
        <f t="shared" si="28"/>
        <v>22611766</v>
      </c>
      <c r="AQ75" s="15">
        <f t="shared" si="29"/>
        <v>20516944</v>
      </c>
    </row>
  </sheetData>
  <autoFilter ref="A3:AQ75" xr:uid="{00000000-0009-0000-0000-000003000000}"/>
  <mergeCells count="1">
    <mergeCell ref="A1:AQ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tabSelected="1" zoomScaleNormal="100" workbookViewId="0">
      <selection activeCell="A36" sqref="A36"/>
    </sheetView>
  </sheetViews>
  <sheetFormatPr defaultColWidth="8.6640625" defaultRowHeight="15" customHeight="1" x14ac:dyDescent="0.3"/>
  <cols>
    <col min="1" max="2" width="18" customWidth="1"/>
    <col min="3" max="3" width="10" customWidth="1"/>
    <col min="4" max="4" width="8" customWidth="1"/>
    <col min="5" max="5" width="22" customWidth="1"/>
    <col min="6" max="6" width="18" customWidth="1"/>
    <col min="7" max="7" width="10" customWidth="1"/>
    <col min="8" max="8" width="8" customWidth="1"/>
  </cols>
  <sheetData>
    <row r="1" spans="1:8" ht="27.75" customHeight="1" x14ac:dyDescent="0.3">
      <c r="A1" s="36" t="s">
        <v>213</v>
      </c>
      <c r="B1" s="36"/>
      <c r="C1" s="36"/>
      <c r="D1" s="36"/>
      <c r="E1" s="36"/>
      <c r="F1" s="36"/>
      <c r="G1" s="36"/>
      <c r="H1" s="36"/>
    </row>
    <row r="2" spans="1:8" ht="25.5" customHeight="1" x14ac:dyDescent="0.3">
      <c r="A2" s="36"/>
      <c r="B2" s="36"/>
      <c r="C2" s="36"/>
      <c r="D2" s="36"/>
      <c r="E2" s="36"/>
      <c r="F2" s="36"/>
      <c r="G2" s="36"/>
      <c r="H2" s="36"/>
    </row>
    <row r="4" spans="1:8" ht="14.4" x14ac:dyDescent="0.3">
      <c r="A4" s="2" t="s">
        <v>159</v>
      </c>
      <c r="B4" s="22">
        <v>2026</v>
      </c>
    </row>
    <row r="5" spans="1:8" ht="14.4" x14ac:dyDescent="0.3">
      <c r="A5" s="2" t="s">
        <v>160</v>
      </c>
      <c r="B5" s="22">
        <v>1</v>
      </c>
    </row>
    <row r="6" spans="1:8" ht="14.4" x14ac:dyDescent="0.3">
      <c r="A6" s="2" t="s">
        <v>9</v>
      </c>
      <c r="B6" s="22" t="s">
        <v>34</v>
      </c>
    </row>
    <row r="8" spans="1:8" ht="14.4" x14ac:dyDescent="0.3">
      <c r="A8" s="34" t="s">
        <v>194</v>
      </c>
      <c r="B8" s="34"/>
      <c r="C8" s="34"/>
      <c r="D8" s="34"/>
      <c r="E8" s="34" t="s">
        <v>195</v>
      </c>
      <c r="F8" s="34"/>
      <c r="G8" s="34"/>
      <c r="H8" s="34"/>
    </row>
    <row r="9" spans="1:8" ht="14.4" x14ac:dyDescent="0.3">
      <c r="A9" s="10" t="s">
        <v>12</v>
      </c>
      <c r="B9" s="23" t="str">
        <f>VLOOKUP($B$6,Master_Karyawan!$A$4:$Y$9,4,FALSE())</f>
        <v>Andi Pratama</v>
      </c>
      <c r="E9" s="10" t="s">
        <v>161</v>
      </c>
      <c r="F9" s="24">
        <f>DATE($B$4,$B$5,1)</f>
        <v>46023</v>
      </c>
    </row>
    <row r="10" spans="1:8" ht="14.4" x14ac:dyDescent="0.3">
      <c r="A10" s="10" t="s">
        <v>10</v>
      </c>
      <c r="B10" s="25" t="str">
        <f>TEXT(VLOOKUP($B$6,Master_Karyawan!$A$4:$Y$9,2,FALSE()),"0")</f>
        <v>3174-0112-0190-0001</v>
      </c>
      <c r="E10" s="10" t="s">
        <v>27</v>
      </c>
      <c r="F10" s="26">
        <f>SUMIFS(Payroll_Detail!$L$4:$L$75,Payroll_Detail!$D$4:$D$75,$B$6,Payroll_Detail!$A$4:$A$75,$B$4,Payroll_Detail!$B$4:$B$75,$B$5)</f>
        <v>8000000</v>
      </c>
    </row>
    <row r="11" spans="1:8" ht="14.4" x14ac:dyDescent="0.3">
      <c r="A11" s="10" t="s">
        <v>11</v>
      </c>
      <c r="B11" s="23" t="str">
        <f>VLOOKUP($B$6,Master_Karyawan!$A$4:$Y$9,3,FALSE())</f>
        <v>12.345.678.9-012.000</v>
      </c>
      <c r="E11" s="10" t="s">
        <v>28</v>
      </c>
      <c r="F11" s="26">
        <f>SUMIFS(Payroll_Detail!$M$4:$M$75,Payroll_Detail!$D$4:$D$75,$B$6,Payroll_Detail!$A$4:$A$75,$B$4,Payroll_Detail!$B$4:$B$75,$B$5)</f>
        <v>1000000</v>
      </c>
    </row>
    <row r="12" spans="1:8" ht="14.4" x14ac:dyDescent="0.3">
      <c r="A12" s="10" t="s">
        <v>19</v>
      </c>
      <c r="B12" s="23" t="str">
        <f>VLOOKUP($B$6,Master_Karyawan!$A$4:$Y$9,11,FALSE())</f>
        <v>Sales</v>
      </c>
      <c r="E12" s="10" t="s">
        <v>196</v>
      </c>
      <c r="F12" s="26">
        <f>SUMIFS(Payroll_Detail!$N$4:$N$75,Payroll_Detail!$D$4:$D$75,$B$6,Payroll_Detail!$A$4:$A$75,$B$4,Payroll_Detail!$B$4:$B$75,$B$5)</f>
        <v>500000</v>
      </c>
    </row>
    <row r="13" spans="1:8" ht="14.4" x14ac:dyDescent="0.3">
      <c r="A13" s="10" t="s">
        <v>20</v>
      </c>
      <c r="B13" s="23" t="str">
        <f>VLOOKUP($B$6,Master_Karyawan!$A$4:$Y$9,12,FALSE())</f>
        <v>Sales Executive</v>
      </c>
      <c r="E13" s="10" t="s">
        <v>166</v>
      </c>
      <c r="F13" s="26">
        <f>SUMIFS(Payroll_Detail!$O$4:$O$75,Payroll_Detail!$D$4:$D$75,$B$6,Payroll_Detail!$A$4:$A$75,$B$4,Payroll_Detail!$B$4:$B$75,$B$5)</f>
        <v>0</v>
      </c>
    </row>
    <row r="14" spans="1:8" ht="14.4" x14ac:dyDescent="0.3">
      <c r="A14" s="10" t="s">
        <v>18</v>
      </c>
      <c r="B14" s="27">
        <f>VLOOKUP($B$6,Master_Karyawan!$A$4:$Y$9,10,FALSE())</f>
        <v>45301</v>
      </c>
      <c r="E14" s="10" t="s">
        <v>197</v>
      </c>
      <c r="F14" s="26">
        <f>SUMIFS(Payroll_Detail!$P$4:$P$75,Payroll_Detail!$D$4:$D$75,$B$6,Payroll_Detail!$A$4:$A$75,$B$4,Payroll_Detail!$B$4:$B$75,$B$5)+SUMIFS(Payroll_Detail!$Q$4:$Q$75,Payroll_Detail!$D$4:$D$75,$B$6,Payroll_Detail!$A$4:$A$75,$B$4,Payroll_Detail!$B$4:$B$75,$B$5)</f>
        <v>0</v>
      </c>
    </row>
    <row r="15" spans="1:8" ht="14.4" x14ac:dyDescent="0.3">
      <c r="A15" s="34" t="s">
        <v>198</v>
      </c>
      <c r="B15" s="34"/>
      <c r="C15" s="34"/>
      <c r="D15" s="34"/>
      <c r="E15" s="34" t="s">
        <v>199</v>
      </c>
      <c r="F15" s="34"/>
      <c r="G15" s="34"/>
      <c r="H15" s="34"/>
    </row>
    <row r="16" spans="1:8" ht="14.4" x14ac:dyDescent="0.3">
      <c r="A16" s="10" t="s">
        <v>16</v>
      </c>
      <c r="B16" s="23" t="str">
        <f>VLOOKUP($B$6,Master_Karyawan!$A$4:$Y$9,8,FALSE())</f>
        <v>TK/0</v>
      </c>
      <c r="E16" s="10" t="s">
        <v>30</v>
      </c>
      <c r="F16" s="26">
        <f>SUMIFS(Payroll_Detail!$AK$4:$AK$75,Payroll_Detail!$D$4:$D$75,$B$6,Payroll_Detail!$A$4:$A$75,$B$4,Payroll_Detail!$B$4:$B$75,$B$5)</f>
        <v>380000</v>
      </c>
    </row>
    <row r="17" spans="1:8" ht="14.4" x14ac:dyDescent="0.3">
      <c r="A17" s="10" t="s">
        <v>127</v>
      </c>
      <c r="B17" s="23" t="str">
        <f>VLOOKUP($B$6,Master_Karyawan!$A$4:$Y$9,9,FALSE())</f>
        <v>A</v>
      </c>
      <c r="E17" s="10" t="s">
        <v>200</v>
      </c>
      <c r="F17" s="26">
        <f>SUMIFS(Payroll_Detail!$AL$4:$AL$75,Payroll_Detail!$D$4:$D$75,$B$6,Payroll_Detail!$A$4:$A$75,$B$4,Payroll_Detail!$B$4:$B$75,$B$5)</f>
        <v>351500</v>
      </c>
    </row>
    <row r="18" spans="1:8" ht="14.4" x14ac:dyDescent="0.3">
      <c r="A18" s="10" t="s">
        <v>201</v>
      </c>
      <c r="B18" s="26">
        <f>SUMIFS(Payroll_Detail!$T$4:$T$75,Payroll_Detail!$D$4:$D$75,$B$6,Payroll_Detail!$A$4:$A$75,$B$4,Payroll_Detail!$B$4:$B$75,$B$5)</f>
        <v>9500000</v>
      </c>
      <c r="E18" s="10" t="s">
        <v>202</v>
      </c>
      <c r="F18" s="26">
        <f>SUMIFS(Payroll_Detail!$AM$4:$AM$75,Payroll_Detail!$D$4:$D$75,$B$6,Payroll_Detail!$A$4:$A$75,$B$4,Payroll_Detail!$B$4:$B$75,$B$5)</f>
        <v>190000</v>
      </c>
    </row>
    <row r="19" spans="1:8" ht="14.4" x14ac:dyDescent="0.3">
      <c r="A19" s="10" t="s">
        <v>181</v>
      </c>
      <c r="B19" s="28">
        <f>SUMIFS(Payroll_Detail!$AE$4:$AE$75,Payroll_Detail!$D$4:$D$75,$B$6,Payroll_Detail!$A$4:$A$75,$B$4,Payroll_Detail!$B$4:$B$75,$B$5)</f>
        <v>1.7500000000000002E-2</v>
      </c>
      <c r="E19" s="10" t="s">
        <v>203</v>
      </c>
      <c r="F19" s="26">
        <f>SUMIFS(Payroll_Detail!$AN$4:$AN$75,Payroll_Detail!$D$4:$D$75,$B$6,Payroll_Detail!$A$4:$A$75,$B$4,Payroll_Detail!$B$4:$B$75,$B$5)</f>
        <v>22800</v>
      </c>
    </row>
    <row r="20" spans="1:8" ht="14.4" x14ac:dyDescent="0.3">
      <c r="A20" s="10" t="s">
        <v>184</v>
      </c>
      <c r="B20" s="26">
        <f>SUMIFS(Payroll_Detail!$AH$4:$AH$75,Payroll_Detail!$D$4:$D$75,$B$6,Payroll_Detail!$A$4:$A$75,$B$4,Payroll_Detail!$B$4:$B$75,$B$5)</f>
        <v>64205000</v>
      </c>
      <c r="E20" s="10" t="s">
        <v>204</v>
      </c>
      <c r="F20" s="26">
        <f>SUMIFS(Payroll_Detail!$AO$4:$AO$75,Payroll_Detail!$D$4:$D$75,$B$6,Payroll_Detail!$A$4:$A$75,$B$4,Payroll_Detail!$B$4:$B$75,$B$5)</f>
        <v>28500</v>
      </c>
    </row>
    <row r="21" spans="1:8" ht="14.4" x14ac:dyDescent="0.3">
      <c r="A21" s="10" t="s">
        <v>186</v>
      </c>
      <c r="B21" s="26">
        <f>SUMIFS(Payroll_Detail!$AJ$4:$AJ$75,Payroll_Detail!$D$4:$D$75,$B$6,Payroll_Detail!$A$4:$A$75,$B$4,Payroll_Detail!$B$4:$B$75,$B$5)</f>
        <v>166250</v>
      </c>
      <c r="E21" s="10" t="s">
        <v>192</v>
      </c>
      <c r="F21" s="26">
        <f>SUMIFS(Payroll_Detail!$AP$4:$AP$75,Payroll_Detail!$D$4:$D$75,$B$6,Payroll_Detail!$A$4:$A$75,$B$4,Payroll_Detail!$B$4:$B$75,$B$5)</f>
        <v>10639050</v>
      </c>
    </row>
    <row r="22" spans="1:8" ht="14.4" x14ac:dyDescent="0.3">
      <c r="A22" s="34" t="s">
        <v>205</v>
      </c>
      <c r="B22" s="34"/>
      <c r="C22" s="34"/>
      <c r="D22" s="34"/>
      <c r="E22" s="34"/>
      <c r="F22" s="34"/>
      <c r="G22" s="34"/>
      <c r="H22" s="34"/>
    </row>
    <row r="23" spans="1:8" ht="14.4" x14ac:dyDescent="0.3">
      <c r="A23" s="29" t="s">
        <v>206</v>
      </c>
      <c r="B23" s="12"/>
      <c r="C23" s="12"/>
      <c r="D23" s="12"/>
      <c r="E23" s="29" t="s">
        <v>207</v>
      </c>
      <c r="F23" s="12"/>
      <c r="G23" s="12"/>
      <c r="H23" s="12"/>
    </row>
    <row r="24" spans="1:8" ht="14.4" x14ac:dyDescent="0.3">
      <c r="A24" s="12" t="s">
        <v>27</v>
      </c>
      <c r="B24" s="26">
        <f>SUMIFS(Payroll_Detail!$L$4:$L$75,Payroll_Detail!$D$4:$D$75,$B$6,Payroll_Detail!$A$4:$A$75,$B$4,Payroll_Detail!$B$4:$B$75,$B$5)</f>
        <v>8000000</v>
      </c>
      <c r="C24" s="12"/>
      <c r="D24" s="12"/>
      <c r="E24" s="12" t="s">
        <v>30</v>
      </c>
      <c r="F24" s="26">
        <f>SUMIFS(Payroll_Detail!$W$4:$W$75,Payroll_Detail!$D$4:$D$75,$B$6,Payroll_Detail!$A$4:$A$75,$B$4,Payroll_Detail!$B$4:$B$75,$B$5)</f>
        <v>95000</v>
      </c>
      <c r="G24" s="12"/>
      <c r="H24" s="12"/>
    </row>
    <row r="25" spans="1:8" ht="14.4" x14ac:dyDescent="0.3">
      <c r="A25" s="12" t="s">
        <v>28</v>
      </c>
      <c r="B25" s="26">
        <f>SUMIFS(Payroll_Detail!$M$4:$M$75,Payroll_Detail!$D$4:$D$75,$B$6,Payroll_Detail!$A$4:$A$75,$B$4,Payroll_Detail!$B$4:$B$75,$B$5)</f>
        <v>1000000</v>
      </c>
      <c r="C25" s="12"/>
      <c r="D25" s="12"/>
      <c r="E25" s="12" t="s">
        <v>200</v>
      </c>
      <c r="F25" s="26">
        <f>SUMIFS(Payroll_Detail!$Y$4:$Y$75,Payroll_Detail!$D$4:$D$75,$B$6,Payroll_Detail!$A$4:$A$75,$B$4,Payroll_Detail!$B$4:$B$75,$B$5)</f>
        <v>190000</v>
      </c>
      <c r="G25" s="12"/>
      <c r="H25" s="12"/>
    </row>
    <row r="26" spans="1:8" ht="14.4" x14ac:dyDescent="0.3">
      <c r="A26" s="12" t="s">
        <v>29</v>
      </c>
      <c r="B26" s="26">
        <f>SUMIFS(Payroll_Detail!$N$4:$N$75,Payroll_Detail!$D$4:$D$75,$B$6,Payroll_Detail!$A$4:$A$75,$B$4,Payroll_Detail!$B$4:$B$75,$B$5)</f>
        <v>500000</v>
      </c>
      <c r="C26" s="12"/>
      <c r="D26" s="12"/>
      <c r="E26" s="12" t="s">
        <v>202</v>
      </c>
      <c r="F26" s="26">
        <f>SUMIFS(Payroll_Detail!$AA$4:$AA$75,Payroll_Detail!$D$4:$D$75,$B$6,Payroll_Detail!$A$4:$A$75,$B$4,Payroll_Detail!$B$4:$B$75,$B$5)</f>
        <v>95000</v>
      </c>
      <c r="G26" s="12"/>
      <c r="H26" s="12"/>
    </row>
    <row r="27" spans="1:8" ht="14.4" x14ac:dyDescent="0.3">
      <c r="A27" s="12" t="s">
        <v>166</v>
      </c>
      <c r="B27" s="26">
        <f>SUMIFS(Payroll_Detail!$O$4:$O$75,Payroll_Detail!$D$4:$D$75,$B$6,Payroll_Detail!$A$4:$A$75,$B$4,Payroll_Detail!$B$4:$B$75,$B$5)</f>
        <v>0</v>
      </c>
      <c r="C27" s="12"/>
      <c r="D27" s="12"/>
      <c r="E27" s="12" t="s">
        <v>208</v>
      </c>
      <c r="F27" s="26">
        <f>SUMIFS(Payroll_Detail!$AJ$4:$AJ$75,Payroll_Detail!$D$4:$D$75,$B$6,Payroll_Detail!$A$4:$A$75,$B$4,Payroll_Detail!$B$4:$B$75,$B$5)</f>
        <v>166250</v>
      </c>
      <c r="G27" s="12"/>
      <c r="H27" s="12"/>
    </row>
    <row r="28" spans="1:8" ht="14.4" x14ac:dyDescent="0.3">
      <c r="A28" s="12" t="s">
        <v>209</v>
      </c>
      <c r="B28" s="26">
        <f>SUMIFS(Payroll_Detail!$P$4:$P$75,Payroll_Detail!$D$4:$D$75,$B$6,Payroll_Detail!$A$4:$A$75,$B$4,Payroll_Detail!$B$4:$B$75,$B$5)+SUMIFS(Payroll_Detail!$Q$4:$Q$75,Payroll_Detail!$D$4:$D$75,$B$6,Payroll_Detail!$A$4:$A$75,$B$4,Payroll_Detail!$B$4:$B$75,$B$5)</f>
        <v>0</v>
      </c>
      <c r="C28" s="12"/>
      <c r="D28" s="12"/>
      <c r="E28" s="12" t="s">
        <v>170</v>
      </c>
      <c r="F28" s="26">
        <f>SUMIFS(Payroll_Detail!$S$4:$S$75,Payroll_Detail!$D$4:$D$75,$B$6,Payroll_Detail!$A$4:$A$75,$B$4,Payroll_Detail!$B$4:$B$75,$B$5)</f>
        <v>0</v>
      </c>
      <c r="G28" s="12"/>
      <c r="H28" s="12"/>
    </row>
    <row r="29" spans="1:8" ht="14.4" x14ac:dyDescent="0.3">
      <c r="A29" s="12" t="s">
        <v>210</v>
      </c>
      <c r="B29" s="26">
        <f>SUMIFS(Payroll_Detail!$R$4:$R$75,Payroll_Detail!$D$4:$D$75,$B$6,Payroll_Detail!$A$4:$A$75,$B$4,Payroll_Detail!$B$4:$B$75,$B$5)</f>
        <v>0</v>
      </c>
      <c r="C29" s="12"/>
      <c r="D29" s="12"/>
      <c r="E29" s="12"/>
      <c r="F29" s="12"/>
      <c r="G29" s="12"/>
      <c r="H29" s="12"/>
    </row>
    <row r="30" spans="1:8" ht="14.4" x14ac:dyDescent="0.3">
      <c r="A30" s="12"/>
      <c r="B30" s="12"/>
      <c r="C30" s="12"/>
      <c r="D30" s="12"/>
      <c r="E30" s="12"/>
      <c r="F30" s="12"/>
      <c r="G30" s="12"/>
      <c r="H30" s="12"/>
    </row>
    <row r="31" spans="1:8" ht="14.4" x14ac:dyDescent="0.3">
      <c r="A31" s="29" t="s">
        <v>211</v>
      </c>
      <c r="B31" s="26">
        <f>SUM(B24:B29)</f>
        <v>9500000</v>
      </c>
      <c r="C31" s="12"/>
      <c r="D31" s="12"/>
      <c r="E31" s="29" t="s">
        <v>212</v>
      </c>
      <c r="F31" s="26">
        <f>SUM(F24:F28)</f>
        <v>546250</v>
      </c>
      <c r="G31" s="12"/>
      <c r="H31" s="12"/>
    </row>
    <row r="32" spans="1:8" ht="16.8" x14ac:dyDescent="0.3">
      <c r="A32" s="30" t="s">
        <v>193</v>
      </c>
      <c r="B32" s="31">
        <f>B31-F31</f>
        <v>8953750</v>
      </c>
      <c r="C32" s="12"/>
      <c r="D32" s="12"/>
      <c r="E32" s="12"/>
      <c r="F32" s="12"/>
      <c r="G32" s="12"/>
      <c r="H32" s="12"/>
    </row>
    <row r="34" spans="1:8" ht="15" customHeight="1" x14ac:dyDescent="0.3">
      <c r="A34" s="35" t="s">
        <v>214</v>
      </c>
      <c r="B34" s="35"/>
      <c r="C34" s="35"/>
      <c r="D34" s="35"/>
      <c r="E34" s="35"/>
      <c r="F34" s="35"/>
      <c r="G34" s="35"/>
      <c r="H34" s="35"/>
    </row>
  </sheetData>
  <mergeCells count="7">
    <mergeCell ref="A22:H22"/>
    <mergeCell ref="A34:H34"/>
    <mergeCell ref="A1:H2"/>
    <mergeCell ref="A8:D8"/>
    <mergeCell ref="E8:H8"/>
    <mergeCell ref="A15:D15"/>
    <mergeCell ref="E15:H15"/>
  </mergeCells>
  <dataValidations count="2">
    <dataValidation type="whole" sqref="B4" xr:uid="{00000000-0002-0000-0400-000000000000}">
      <formula1>2024</formula1>
      <formula2>2035</formula2>
    </dataValidation>
    <dataValidation type="whole" sqref="B5" xr:uid="{00000000-0002-0000-0400-000001000000}">
      <formula1>1</formula1>
      <formula2>12</formula2>
    </dataValidation>
  </dataValidations>
  <pageMargins left="0.3" right="0.3" top="0.4" bottom="0.4" header="0.511811023622047" footer="0.511811023622047"/>
  <pageSetup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2000000}">
          <x14:formula1>
            <xm:f>Master_Karyawan!$A$4:$A$9</xm:f>
          </x14:formula1>
          <x14:formula2>
            <xm:f>0</xm:f>
          </x14:formula2>
          <xm:sqref>B6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Petunjuk</vt:lpstr>
      <vt:lpstr>Master_Karyawan</vt:lpstr>
      <vt:lpstr>Asumsi_Pajak</vt:lpstr>
      <vt:lpstr>Payroll_Detail</vt:lpstr>
      <vt:lpstr>Slip_Gaji</vt:lpstr>
      <vt:lpstr>Slip_Gaji!Print_Area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2026-03-25T02:00:47Z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2026-03-17T08:57:25Z</dcterms:created>
  <dc:creator>openpyxl</dc:creator>
  <dc:description/>
  <dc:language>en-US</dc:language>
  <cp:lastModifiedBy/>
  <dcterms:modified xsi:type="dcterms:W3CDTF">2026-03-17T09:01:29Z</dcterms:modified>
  <cp:revision>0</cp:revision>
  <dc:subject/>
  <dc:title/>
</cp:coreProperties>
</file>